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<sst xmlns="http://schemas.openxmlformats.org/spreadsheetml/2006/main" count="525" uniqueCount="222">
  <si>
    <t>ОТЧЕТ ОБ ИСПОЛНЕНИИ БЮДЖЕТА</t>
  </si>
  <si>
    <t>КОДЫ</t>
  </si>
  <si>
    <t xml:space="preserve">Форма по ОКУД </t>
  </si>
  <si>
    <t>0503117</t>
  </si>
  <si>
    <t>на 1 сентября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</si>
  <si>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</si>
  <si>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</si>
  <si>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</si>
  <si>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</si>
  <si>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</si>
  <si>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</si>
  <si>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</si>
  <si>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</si>
  <si>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</si>
  <si>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</si>
  <si>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</si>
  <si>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</si>
  <si>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</si>
  <si>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</si>
  <si>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</si>
  <si>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</si>
  <si>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</si>
  <si>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</si>
  <si>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</si>
  <si>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</si>
  <si>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</si>
  <si>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</si>
  <si>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</si>
  <si>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</si>
  <si>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</si>
  <si>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</si>
  <si>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</si>
  <si>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</si>
  <si>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</si>
  <si>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</si>
  <si>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</si>
  <si>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</si>
  <si>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</si>
  <si>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</si>
  <si>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</si>
  <si>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</si>
  <si>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</si>
  <si>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</si>
  <si>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</si>
  <si>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</si>
  <si>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</si>
  <si>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</si>
  <si>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</si>
  <si>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</si>
  <si>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</si>
  <si>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</si>
  <si>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</si>
  <si>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</si>
  <si>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</si>
  <si>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</si>
  <si>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</si>
  <si>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</si>
  <si>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</si>
  <si>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</si>
  <si>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</si>
  <si>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</si>
  <si>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</si>
  <si>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816 11633050 10 0000 140</t>
  </si>
  <si>
    <t>-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</si>
  <si>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</si>
  <si>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</si>
  <si>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</si>
  <si>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</si>
  <si>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</si>
  <si>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</si>
  <si>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</si>
  <si>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</si>
  <si>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</si>
  <si>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</si>
  <si>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</si>
  <si>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</si>
  <si>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</si>
  <si>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</si>
  <si>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</si>
  <si>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</si>
  <si>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</si>
  <si>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</si>
  <si>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</si>
  <si>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</si>
  <si>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</si>
  <si>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</si>
  <si>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</si>
  <si>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</si>
  <si>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</si>
  <si>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</si>
  <si>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</si>
  <si>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</si>
  <si>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</si>
  <si>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</si>
  <si>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</si>
  <si>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</si>
  <si>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</si>
  <si>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</si>
  <si>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</si>
  <si>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</si>
  <si>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</si>
  <si>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</si>
  <si>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основных средств</t>
  </si>
  <si>
    <t>992 0104 5010019 244 310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</si>
  <si>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</si>
  <si>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</si>
  <si>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</si>
  <si>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</si>
  <si>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</si>
  <si>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</si>
  <si>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</si>
  <si>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</si>
  <si>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</si>
  <si>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</si>
  <si>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</si>
  <si>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</si>
  <si>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</si>
  <si>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</si>
  <si>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</si>
  <si>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</si>
  <si>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</si>
  <si>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</si>
  <si>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</si>
  <si>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</si>
  <si>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</si>
  <si>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</si>
  <si>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</si>
  <si>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</si>
  <si>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</si>
  <si>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</si>
  <si>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</si>
  <si>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</si>
  <si>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</si>
  <si>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</si>
  <si>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</si>
  <si>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</si>
  <si>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</si>
  <si>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</si>
  <si>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</si>
  <si>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</si>
  <si>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</si>
  <si>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</si>
  <si>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992 0314 5801012 244 310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</si>
  <si>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</si>
  <si>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</si>
  <si>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</si>
  <si>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</si>
  <si>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</si>
  <si>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</si>
  <si>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</si>
  <si>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</si>
  <si>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992 0409 9001027 244 340</t>
  </si>
  <si>
    <t>992 0412 5701011 244 226</t>
  </si>
  <si>
    <t>992 0412 5901013 244 225</t>
  </si>
  <si>
    <t>992 0412 8300001 244 225</t>
  </si>
  <si>
    <t>992 0412 8300001 244 226</t>
  </si>
  <si>
    <t>992 0412 9101026 244 226</t>
  </si>
  <si>
    <t>992 0412 9106030 244 226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</si>
  <si>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</si>
  <si>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</si>
  <si>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</si>
  <si>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</si>
  <si>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</si>
  <si>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992 0503 7800001 244 223</t>
  </si>
  <si>
    <t>992 0503 7800001 244 225</t>
  </si>
  <si>
    <t>992 0503 7800001 244 226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</si>
  <si>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</si>
  <si>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</si>
  <si>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</si>
  <si>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</si>
  <si>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</si>
  <si>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</si>
  <si>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</si>
  <si>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992 0503 8100001 244 310</t>
  </si>
  <si>
    <t>992 0707 6601020 121 211</t>
  </si>
  <si>
    <t>992 0707 6601020 121 213</t>
  </si>
  <si>
    <t>992 0707 6601020 244 226</t>
  </si>
  <si>
    <t>992 0707 6601020 244 290</t>
  </si>
  <si>
    <t>992 0707 6601020 244 340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</si>
  <si>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</si>
  <si>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</si>
  <si>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</si>
  <si>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</si>
  <si>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</si>
  <si>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992 0801 6101015 244 226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</si>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</sst>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42248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30352786.35</f>
        <v>30352786.35</v>
      </c>
      <c r="J12" s="26">
        <f>23173742.82</f>
        <v>23173742.82</v>
      </c>
      <c r="K12" s="26"/>
      <c r="L12" s="26"/>
      <c r="M12" s="26"/>
      <c r="N12" s="27">
        <f>7179043.53</f>
        <v>7179043.53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1658500</f>
        <v>1658500</v>
      </c>
      <c r="J13" s="31">
        <f>674128.69</f>
        <v>674128.69</v>
      </c>
      <c r="K13" s="31"/>
      <c r="L13" s="31"/>
      <c r="M13" s="31"/>
      <c r="N13" s="32">
        <f>984371.31</f>
        <v>984371.31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18200.67</f>
        <v>18200.67</v>
      </c>
      <c r="K14" s="31"/>
      <c r="L14" s="31"/>
      <c r="M14" s="31"/>
      <c r="N14" s="32">
        <f>1799.33</f>
        <v>1799.33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1306400</f>
        <v>1306400</v>
      </c>
      <c r="J15" s="31">
        <f>1348529.82</f>
        <v>1348529.82</v>
      </c>
      <c r="K15" s="31"/>
      <c r="L15" s="31"/>
      <c r="M15" s="31"/>
      <c r="N15" s="32">
        <f>-42129.82</f>
        <v>-42129.82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-54224.77</f>
        <v>-54224.77</v>
      </c>
      <c r="K16" s="31"/>
      <c r="L16" s="31"/>
      <c r="M16" s="31"/>
      <c r="N16" s="32">
        <f>74224.77</f>
        <v>74224.77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12203000</f>
        <v>12203000</v>
      </c>
      <c r="J17" s="31">
        <f>7588951.91</f>
        <v>7588951.91</v>
      </c>
      <c r="K17" s="31"/>
      <c r="L17" s="31"/>
      <c r="M17" s="31"/>
      <c r="N17" s="32">
        <f>4614048.09</f>
        <v>4614048.09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1">
        <f>4759.5</f>
        <v>4759.5</v>
      </c>
      <c r="K18" s="31"/>
      <c r="L18" s="31"/>
      <c r="M18" s="31"/>
      <c r="N18" s="32">
        <f>240.5</f>
        <v>240.5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65000</f>
        <v>65000</v>
      </c>
      <c r="J19" s="31">
        <f>60476.19</f>
        <v>60476.19</v>
      </c>
      <c r="K19" s="31"/>
      <c r="L19" s="31"/>
      <c r="M19" s="31"/>
      <c r="N19" s="32">
        <f>4523.81</f>
        <v>4523.81</v>
      </c>
      <c r="O19" s="32"/>
    </row>
    <row r="20" spans="1:15" s="1" customFormat="1" ht="54.75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20000</f>
        <v>20000</v>
      </c>
      <c r="J20" s="31">
        <f>18279.87</f>
        <v>18279.87</v>
      </c>
      <c r="K20" s="31"/>
      <c r="L20" s="31"/>
      <c r="M20" s="31"/>
      <c r="N20" s="32">
        <f>1720.13</f>
        <v>1720.13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208000</f>
        <v>208000</v>
      </c>
      <c r="J21" s="31">
        <f>199239.12</f>
        <v>199239.12</v>
      </c>
      <c r="K21" s="31"/>
      <c r="L21" s="31"/>
      <c r="M21" s="31"/>
      <c r="N21" s="32">
        <f>8760.88</f>
        <v>8760.88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930000</f>
        <v>930000</v>
      </c>
      <c r="J22" s="31">
        <f>465233.36</f>
        <v>465233.36</v>
      </c>
      <c r="K22" s="31"/>
      <c r="L22" s="31"/>
      <c r="M22" s="31"/>
      <c r="N22" s="32">
        <f>464766.64</f>
        <v>464766.64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6000000</f>
        <v>6000000</v>
      </c>
      <c r="J23" s="31">
        <f>6390018.69</f>
        <v>6390018.69</v>
      </c>
      <c r="K23" s="31"/>
      <c r="L23" s="31"/>
      <c r="M23" s="31"/>
      <c r="N23" s="32">
        <f>-390018.69</f>
        <v>-390018.69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1360000</f>
        <v>1360000</v>
      </c>
      <c r="J24" s="31">
        <f>889021.77</f>
        <v>889021.77</v>
      </c>
      <c r="K24" s="31"/>
      <c r="L24" s="31"/>
      <c r="M24" s="31"/>
      <c r="N24" s="32">
        <f>470978.23</f>
        <v>470978.23</v>
      </c>
      <c r="O24" s="32"/>
    </row>
    <row r="25" spans="1:15" s="1" customFormat="1" ht="4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3" t="s">
        <v>63</v>
      </c>
      <c r="J25" s="31">
        <f>3000</f>
        <v>3000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20000</f>
        <v>20000</v>
      </c>
      <c r="J26" s="31">
        <f>22900</f>
        <v>22900</v>
      </c>
      <c r="K26" s="31"/>
      <c r="L26" s="31"/>
      <c r="M26" s="31"/>
      <c r="N26" s="32">
        <f>-2900</f>
        <v>-2900</v>
      </c>
      <c r="O26" s="32"/>
    </row>
    <row r="27" spans="1:15" s="1" customFormat="1" ht="4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0</f>
        <v>0</v>
      </c>
      <c r="J27" s="34" t="s">
        <v>63</v>
      </c>
      <c r="K27" s="34"/>
      <c r="L27" s="34"/>
      <c r="M27" s="34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0</f>
        <v>0</v>
      </c>
      <c r="J28" s="34" t="s">
        <v>63</v>
      </c>
      <c r="K28" s="34"/>
      <c r="L28" s="34"/>
      <c r="M28" s="34"/>
      <c r="N28" s="32">
        <f>0</f>
        <v>0</v>
      </c>
      <c r="O28" s="32"/>
    </row>
    <row r="29" spans="1:15" s="1" customFormat="1" ht="33.7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3300</f>
        <v>3300</v>
      </c>
      <c r="J29" s="31">
        <f>2084.32</f>
        <v>2084.32</v>
      </c>
      <c r="K29" s="31"/>
      <c r="L29" s="31"/>
      <c r="M29" s="31"/>
      <c r="N29" s="32">
        <f>1215.68</f>
        <v>1215.68</v>
      </c>
      <c r="O29" s="32"/>
    </row>
    <row r="30" spans="1:15" s="1" customFormat="1" ht="13.5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3" t="s">
        <v>63</v>
      </c>
      <c r="J30" s="31">
        <f>66223.33</f>
        <v>66223.33</v>
      </c>
      <c r="K30" s="31"/>
      <c r="L30" s="31"/>
      <c r="M30" s="31"/>
      <c r="N30" s="32">
        <f>0</f>
        <v>0</v>
      </c>
      <c r="O30" s="32"/>
    </row>
    <row r="31" spans="1:15" s="1" customFormat="1" ht="13.5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35500</f>
        <v>35500</v>
      </c>
      <c r="J31" s="31">
        <f>49600</f>
        <v>49600</v>
      </c>
      <c r="K31" s="31"/>
      <c r="L31" s="31"/>
      <c r="M31" s="31"/>
      <c r="N31" s="32">
        <f>-14100</f>
        <v>-14100</v>
      </c>
      <c r="O31" s="32"/>
    </row>
    <row r="32" spans="1:15" s="1" customFormat="1" ht="13.5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6374000</f>
        <v>6374000</v>
      </c>
      <c r="J32" s="31">
        <f>5339584</f>
        <v>5339584</v>
      </c>
      <c r="K32" s="31"/>
      <c r="L32" s="31"/>
      <c r="M32" s="31"/>
      <c r="N32" s="32">
        <f>1034416</f>
        <v>1034416</v>
      </c>
      <c r="O32" s="32"/>
    </row>
    <row r="33" spans="1:15" s="1" customFormat="1" ht="24" customHeight="1">
      <c r="A33" s="28" t="s">
        <v>78</v>
      </c>
      <c r="B33" s="28"/>
      <c r="C33" s="28"/>
      <c r="D33" s="28"/>
      <c r="E33" s="28"/>
      <c r="F33" s="28"/>
      <c r="G33" s="29" t="s">
        <v>35</v>
      </c>
      <c r="H33" s="29" t="s">
        <v>79</v>
      </c>
      <c r="I33" s="30">
        <f>163600</f>
        <v>163600</v>
      </c>
      <c r="J33" s="31">
        <f>127250</f>
        <v>127250</v>
      </c>
      <c r="K33" s="31"/>
      <c r="L33" s="31"/>
      <c r="M33" s="31"/>
      <c r="N33" s="32">
        <f>36350</f>
        <v>36350</v>
      </c>
      <c r="O33" s="32"/>
    </row>
    <row r="34" spans="1:15" s="1" customFormat="1" ht="24" customHeight="1">
      <c r="A34" s="28" t="s">
        <v>80</v>
      </c>
      <c r="B34" s="28"/>
      <c r="C34" s="28"/>
      <c r="D34" s="28"/>
      <c r="E34" s="28"/>
      <c r="F34" s="28"/>
      <c r="G34" s="29" t="s">
        <v>35</v>
      </c>
      <c r="H34" s="29" t="s">
        <v>81</v>
      </c>
      <c r="I34" s="30">
        <f>3800</f>
        <v>3800</v>
      </c>
      <c r="J34" s="31">
        <f>3800</f>
        <v>3800</v>
      </c>
      <c r="K34" s="31"/>
      <c r="L34" s="31"/>
      <c r="M34" s="31"/>
      <c r="N34" s="32">
        <f>0</f>
        <v>0</v>
      </c>
      <c r="O34" s="32"/>
    </row>
    <row r="35" spans="1:15" s="1" customFormat="1" ht="24" customHeight="1">
      <c r="A35" s="28" t="s">
        <v>82</v>
      </c>
      <c r="B35" s="28"/>
      <c r="C35" s="28"/>
      <c r="D35" s="28"/>
      <c r="E35" s="28"/>
      <c r="F35" s="28"/>
      <c r="G35" s="29" t="s">
        <v>35</v>
      </c>
      <c r="H35" s="29" t="s">
        <v>83</v>
      </c>
      <c r="I35" s="30">
        <f>-43313.65</f>
        <v>-43313.65</v>
      </c>
      <c r="J35" s="31">
        <f>-43313.65</f>
        <v>-43313.65</v>
      </c>
      <c r="K35" s="31"/>
      <c r="L35" s="31"/>
      <c r="M35" s="31"/>
      <c r="N35" s="32">
        <f>0</f>
        <v>0</v>
      </c>
      <c r="O35" s="32"/>
    </row>
    <row r="36" spans="1:15" s="1" customFormat="1" ht="13.5" customHeight="1">
      <c r="A36" s="35" t="s">
        <v>10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1" customFormat="1" ht="34.5" customHeight="1">
      <c r="A38" s="13" t="s">
        <v>22</v>
      </c>
      <c r="B38" s="13"/>
      <c r="C38" s="13"/>
      <c r="D38" s="13"/>
      <c r="E38" s="13"/>
      <c r="F38" s="13"/>
      <c r="G38" s="14" t="s">
        <v>23</v>
      </c>
      <c r="H38" s="14" t="s">
        <v>85</v>
      </c>
      <c r="I38" s="15" t="s">
        <v>25</v>
      </c>
      <c r="J38" s="16" t="s">
        <v>26</v>
      </c>
      <c r="K38" s="16"/>
      <c r="L38" s="16"/>
      <c r="M38" s="16"/>
      <c r="N38" s="17" t="s">
        <v>27</v>
      </c>
      <c r="O38" s="17"/>
    </row>
    <row r="39" spans="1:15" s="1" customFormat="1" ht="13.5" customHeight="1">
      <c r="A39" s="18" t="s">
        <v>28</v>
      </c>
      <c r="B39" s="18"/>
      <c r="C39" s="18"/>
      <c r="D39" s="18"/>
      <c r="E39" s="18"/>
      <c r="F39" s="18"/>
      <c r="G39" s="19" t="s">
        <v>29</v>
      </c>
      <c r="H39" s="19" t="s">
        <v>30</v>
      </c>
      <c r="I39" s="20" t="s">
        <v>31</v>
      </c>
      <c r="J39" s="21" t="s">
        <v>32</v>
      </c>
      <c r="K39" s="21"/>
      <c r="L39" s="21"/>
      <c r="M39" s="21"/>
      <c r="N39" s="22" t="s">
        <v>33</v>
      </c>
      <c r="O39" s="22"/>
    </row>
    <row r="40" spans="1:15" s="1" customFormat="1" ht="13.5" customHeight="1">
      <c r="A40" s="23" t="s">
        <v>86</v>
      </c>
      <c r="B40" s="23"/>
      <c r="C40" s="23"/>
      <c r="D40" s="23"/>
      <c r="E40" s="23"/>
      <c r="F40" s="23"/>
      <c r="G40" s="24" t="s">
        <v>87</v>
      </c>
      <c r="H40" s="24" t="s">
        <v>36</v>
      </c>
      <c r="I40" s="25">
        <f>48843439.5</f>
        <v>48843439.5</v>
      </c>
      <c r="J40" s="26">
        <f>22050093.95</f>
        <v>22050093.95</v>
      </c>
      <c r="K40" s="26"/>
      <c r="L40" s="26"/>
      <c r="M40" s="26"/>
      <c r="N40" s="27">
        <f>26793345.55</f>
        <v>26793345.55</v>
      </c>
      <c r="O40" s="27"/>
    </row>
    <row r="41" spans="1:15" s="1" customFormat="1" ht="13.5" customHeight="1">
      <c r="A41" s="36" t="s">
        <v>88</v>
      </c>
      <c r="B41" s="36"/>
      <c r="C41" s="36"/>
      <c r="D41" s="36"/>
      <c r="E41" s="36"/>
      <c r="F41" s="36"/>
      <c r="G41" s="37" t="s">
        <v>87</v>
      </c>
      <c r="H41" s="37" t="s">
        <v>89</v>
      </c>
      <c r="I41" s="38">
        <f>416900</f>
        <v>416900</v>
      </c>
      <c r="J41" s="39">
        <f>242572.57</f>
        <v>242572.57</v>
      </c>
      <c r="K41" s="39"/>
      <c r="L41" s="39"/>
      <c r="M41" s="39"/>
      <c r="N41" s="40">
        <f>174327.43</f>
        <v>174327.43</v>
      </c>
      <c r="O41" s="40"/>
    </row>
    <row r="42" spans="1:15" s="1" customFormat="1" ht="13.5" customHeight="1">
      <c r="A42" s="36" t="s">
        <v>90</v>
      </c>
      <c r="B42" s="36"/>
      <c r="C42" s="36"/>
      <c r="D42" s="36"/>
      <c r="E42" s="36"/>
      <c r="F42" s="36"/>
      <c r="G42" s="37" t="s">
        <v>87</v>
      </c>
      <c r="H42" s="37" t="s">
        <v>91</v>
      </c>
      <c r="I42" s="38">
        <f>119300</f>
        <v>119300</v>
      </c>
      <c r="J42" s="39">
        <f>69330.92</f>
        <v>69330.92</v>
      </c>
      <c r="K42" s="39"/>
      <c r="L42" s="39"/>
      <c r="M42" s="39"/>
      <c r="N42" s="40">
        <f>49969.08</f>
        <v>49969.08</v>
      </c>
      <c r="O42" s="40"/>
    </row>
    <row r="43" spans="1:15" s="1" customFormat="1" ht="13.5" customHeight="1">
      <c r="A43" s="36" t="s">
        <v>88</v>
      </c>
      <c r="B43" s="36"/>
      <c r="C43" s="36"/>
      <c r="D43" s="36"/>
      <c r="E43" s="36"/>
      <c r="F43" s="36"/>
      <c r="G43" s="37" t="s">
        <v>87</v>
      </c>
      <c r="H43" s="37" t="s">
        <v>92</v>
      </c>
      <c r="I43" s="38">
        <f>2483450</f>
        <v>2483450</v>
      </c>
      <c r="J43" s="39">
        <f>1408395.33</f>
        <v>1408395.33</v>
      </c>
      <c r="K43" s="39"/>
      <c r="L43" s="39"/>
      <c r="M43" s="39"/>
      <c r="N43" s="40">
        <f>1075054.67</f>
        <v>1075054.67</v>
      </c>
      <c r="O43" s="40"/>
    </row>
    <row r="44" spans="1:15" s="1" customFormat="1" ht="13.5" customHeight="1">
      <c r="A44" s="36" t="s">
        <v>90</v>
      </c>
      <c r="B44" s="36"/>
      <c r="C44" s="36"/>
      <c r="D44" s="36"/>
      <c r="E44" s="36"/>
      <c r="F44" s="36"/>
      <c r="G44" s="37" t="s">
        <v>87</v>
      </c>
      <c r="H44" s="37" t="s">
        <v>93</v>
      </c>
      <c r="I44" s="38">
        <f>756600</f>
        <v>756600</v>
      </c>
      <c r="J44" s="39">
        <f>520346.83</f>
        <v>520346.83</v>
      </c>
      <c r="K44" s="39"/>
      <c r="L44" s="39"/>
      <c r="M44" s="39"/>
      <c r="N44" s="40">
        <f>236253.17</f>
        <v>236253.17</v>
      </c>
      <c r="O44" s="40"/>
    </row>
    <row r="45" spans="1:15" s="1" customFormat="1" ht="13.5" customHeight="1">
      <c r="A45" s="36" t="s">
        <v>94</v>
      </c>
      <c r="B45" s="36"/>
      <c r="C45" s="36"/>
      <c r="D45" s="36"/>
      <c r="E45" s="36"/>
      <c r="F45" s="36"/>
      <c r="G45" s="37" t="s">
        <v>87</v>
      </c>
      <c r="H45" s="37" t="s">
        <v>95</v>
      </c>
      <c r="I45" s="38">
        <f>262450</f>
        <v>262450</v>
      </c>
      <c r="J45" s="39">
        <f>171418.96</f>
        <v>171418.96</v>
      </c>
      <c r="K45" s="39"/>
      <c r="L45" s="39"/>
      <c r="M45" s="39"/>
      <c r="N45" s="40">
        <f>91031.04</f>
        <v>91031.04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87</v>
      </c>
      <c r="H46" s="37" t="s">
        <v>97</v>
      </c>
      <c r="I46" s="38">
        <f>283640</f>
        <v>283640</v>
      </c>
      <c r="J46" s="39">
        <f>88770.33</f>
        <v>88770.33</v>
      </c>
      <c r="K46" s="39"/>
      <c r="L46" s="39"/>
      <c r="M46" s="39"/>
      <c r="N46" s="40">
        <f>194869.67</f>
        <v>194869.67</v>
      </c>
      <c r="O46" s="40"/>
    </row>
    <row r="47" spans="1:15" s="1" customFormat="1" ht="13.5" customHeight="1">
      <c r="A47" s="36" t="s">
        <v>98</v>
      </c>
      <c r="B47" s="36"/>
      <c r="C47" s="36"/>
      <c r="D47" s="36"/>
      <c r="E47" s="36"/>
      <c r="F47" s="36"/>
      <c r="G47" s="37" t="s">
        <v>87</v>
      </c>
      <c r="H47" s="37" t="s">
        <v>99</v>
      </c>
      <c r="I47" s="38">
        <f>30000</f>
        <v>30000</v>
      </c>
      <c r="J47" s="39">
        <f>11200</f>
        <v>11200</v>
      </c>
      <c r="K47" s="39"/>
      <c r="L47" s="39"/>
      <c r="M47" s="39"/>
      <c r="N47" s="40">
        <f>18800</f>
        <v>18800</v>
      </c>
      <c r="O47" s="40"/>
    </row>
    <row r="48" spans="1:15" s="1" customFormat="1" ht="13.5" customHeight="1">
      <c r="A48" s="36" t="s">
        <v>100</v>
      </c>
      <c r="B48" s="36"/>
      <c r="C48" s="36"/>
      <c r="D48" s="36"/>
      <c r="E48" s="36"/>
      <c r="F48" s="36"/>
      <c r="G48" s="37" t="s">
        <v>87</v>
      </c>
      <c r="H48" s="37" t="s">
        <v>101</v>
      </c>
      <c r="I48" s="38">
        <f>143000</f>
        <v>143000</v>
      </c>
      <c r="J48" s="39">
        <f>83035.98</f>
        <v>83035.98</v>
      </c>
      <c r="K48" s="39"/>
      <c r="L48" s="39"/>
      <c r="M48" s="39"/>
      <c r="N48" s="40">
        <f>59964.02</f>
        <v>59964.02</v>
      </c>
      <c r="O48" s="40"/>
    </row>
    <row r="49" spans="1:15" s="1" customFormat="1" ht="13.5" customHeight="1">
      <c r="A49" s="36" t="s">
        <v>102</v>
      </c>
      <c r="B49" s="36"/>
      <c r="C49" s="36"/>
      <c r="D49" s="36"/>
      <c r="E49" s="36"/>
      <c r="F49" s="36"/>
      <c r="G49" s="37" t="s">
        <v>87</v>
      </c>
      <c r="H49" s="37" t="s">
        <v>103</v>
      </c>
      <c r="I49" s="38">
        <f>40000</f>
        <v>40000</v>
      </c>
      <c r="J49" s="41" t="s">
        <v>63</v>
      </c>
      <c r="K49" s="41"/>
      <c r="L49" s="41"/>
      <c r="M49" s="41"/>
      <c r="N49" s="40">
        <f>40000</f>
        <v>40000</v>
      </c>
      <c r="O49" s="40"/>
    </row>
    <row r="50" spans="1:15" s="1" customFormat="1" ht="13.5" customHeight="1">
      <c r="A50" s="36" t="s">
        <v>104</v>
      </c>
      <c r="B50" s="36"/>
      <c r="C50" s="36"/>
      <c r="D50" s="36"/>
      <c r="E50" s="36"/>
      <c r="F50" s="36"/>
      <c r="G50" s="37" t="s">
        <v>87</v>
      </c>
      <c r="H50" s="37" t="s">
        <v>105</v>
      </c>
      <c r="I50" s="38">
        <f>250500</f>
        <v>250500</v>
      </c>
      <c r="J50" s="39">
        <f>162467.3</f>
        <v>162467.3</v>
      </c>
      <c r="K50" s="39"/>
      <c r="L50" s="39"/>
      <c r="M50" s="39"/>
      <c r="N50" s="40">
        <f>88032.7</f>
        <v>88032.7</v>
      </c>
      <c r="O50" s="40"/>
    </row>
    <row r="51" spans="1:15" s="1" customFormat="1" ht="13.5" customHeight="1">
      <c r="A51" s="36" t="s">
        <v>106</v>
      </c>
      <c r="B51" s="36"/>
      <c r="C51" s="36"/>
      <c r="D51" s="36"/>
      <c r="E51" s="36"/>
      <c r="F51" s="36"/>
      <c r="G51" s="37" t="s">
        <v>87</v>
      </c>
      <c r="H51" s="37" t="s">
        <v>107</v>
      </c>
      <c r="I51" s="38">
        <f>90000</f>
        <v>90000</v>
      </c>
      <c r="J51" s="39">
        <f>34138</f>
        <v>34138</v>
      </c>
      <c r="K51" s="39"/>
      <c r="L51" s="39"/>
      <c r="M51" s="39"/>
      <c r="N51" s="40">
        <f>55862</f>
        <v>55862</v>
      </c>
      <c r="O51" s="40"/>
    </row>
    <row r="52" spans="1:15" s="1" customFormat="1" ht="13.5" customHeight="1">
      <c r="A52" s="36" t="s">
        <v>106</v>
      </c>
      <c r="B52" s="36"/>
      <c r="C52" s="36"/>
      <c r="D52" s="36"/>
      <c r="E52" s="36"/>
      <c r="F52" s="36"/>
      <c r="G52" s="37" t="s">
        <v>87</v>
      </c>
      <c r="H52" s="37" t="s">
        <v>108</v>
      </c>
      <c r="I52" s="38">
        <f>24000</f>
        <v>24000</v>
      </c>
      <c r="J52" s="39">
        <f>22241.53</f>
        <v>22241.53</v>
      </c>
      <c r="K52" s="39"/>
      <c r="L52" s="39"/>
      <c r="M52" s="39"/>
      <c r="N52" s="40">
        <f>1758.47</f>
        <v>1758.47</v>
      </c>
      <c r="O52" s="40"/>
    </row>
    <row r="53" spans="1:15" s="1" customFormat="1" ht="13.5" customHeight="1">
      <c r="A53" s="36" t="s">
        <v>104</v>
      </c>
      <c r="B53" s="36"/>
      <c r="C53" s="36"/>
      <c r="D53" s="36"/>
      <c r="E53" s="36"/>
      <c r="F53" s="36"/>
      <c r="G53" s="37" t="s">
        <v>87</v>
      </c>
      <c r="H53" s="37" t="s">
        <v>109</v>
      </c>
      <c r="I53" s="38">
        <f>3800</f>
        <v>3800</v>
      </c>
      <c r="J53" s="39">
        <f>3800</f>
        <v>3800</v>
      </c>
      <c r="K53" s="39"/>
      <c r="L53" s="39"/>
      <c r="M53" s="39"/>
      <c r="N53" s="40">
        <f>0</f>
        <v>0</v>
      </c>
      <c r="O53" s="40"/>
    </row>
    <row r="54" spans="1:15" s="1" customFormat="1" ht="13.5" customHeight="1">
      <c r="A54" s="36" t="s">
        <v>110</v>
      </c>
      <c r="B54" s="36"/>
      <c r="C54" s="36"/>
      <c r="D54" s="36"/>
      <c r="E54" s="36"/>
      <c r="F54" s="36"/>
      <c r="G54" s="37" t="s">
        <v>87</v>
      </c>
      <c r="H54" s="37" t="s">
        <v>111</v>
      </c>
      <c r="I54" s="38">
        <f>128925</f>
        <v>128925</v>
      </c>
      <c r="J54" s="39">
        <f>64460</f>
        <v>64460</v>
      </c>
      <c r="K54" s="39"/>
      <c r="L54" s="39"/>
      <c r="M54" s="39"/>
      <c r="N54" s="40">
        <f>64465</f>
        <v>64465</v>
      </c>
      <c r="O54" s="40"/>
    </row>
    <row r="55" spans="1:15" s="1" customFormat="1" ht="13.5" customHeight="1">
      <c r="A55" s="36" t="s">
        <v>106</v>
      </c>
      <c r="B55" s="36"/>
      <c r="C55" s="36"/>
      <c r="D55" s="36"/>
      <c r="E55" s="36"/>
      <c r="F55" s="36"/>
      <c r="G55" s="37" t="s">
        <v>87</v>
      </c>
      <c r="H55" s="37" t="s">
        <v>112</v>
      </c>
      <c r="I55" s="38">
        <f>100000</f>
        <v>100000</v>
      </c>
      <c r="J55" s="41" t="s">
        <v>63</v>
      </c>
      <c r="K55" s="41"/>
      <c r="L55" s="41"/>
      <c r="M55" s="41"/>
      <c r="N55" s="40">
        <f>100000</f>
        <v>100000</v>
      </c>
      <c r="O55" s="40"/>
    </row>
    <row r="56" spans="1:15" s="1" customFormat="1" ht="13.5" customHeight="1">
      <c r="A56" s="36" t="s">
        <v>106</v>
      </c>
      <c r="B56" s="36"/>
      <c r="C56" s="36"/>
      <c r="D56" s="36"/>
      <c r="E56" s="36"/>
      <c r="F56" s="36"/>
      <c r="G56" s="37" t="s">
        <v>87</v>
      </c>
      <c r="H56" s="37" t="s">
        <v>113</v>
      </c>
      <c r="I56" s="38">
        <f>204341</f>
        <v>204341</v>
      </c>
      <c r="J56" s="39">
        <f>204341</f>
        <v>204341</v>
      </c>
      <c r="K56" s="39"/>
      <c r="L56" s="39"/>
      <c r="M56" s="39"/>
      <c r="N56" s="40">
        <f>0</f>
        <v>0</v>
      </c>
      <c r="O56" s="40"/>
    </row>
    <row r="57" spans="1:15" s="1" customFormat="1" ht="13.5" customHeight="1">
      <c r="A57" s="36" t="s">
        <v>88</v>
      </c>
      <c r="B57" s="36"/>
      <c r="C57" s="36"/>
      <c r="D57" s="36"/>
      <c r="E57" s="36"/>
      <c r="F57" s="36"/>
      <c r="G57" s="37" t="s">
        <v>87</v>
      </c>
      <c r="H57" s="37" t="s">
        <v>114</v>
      </c>
      <c r="I57" s="38">
        <f>1007400</f>
        <v>1007400</v>
      </c>
      <c r="J57" s="39">
        <f>641883.12</f>
        <v>641883.12</v>
      </c>
      <c r="K57" s="39"/>
      <c r="L57" s="39"/>
      <c r="M57" s="39"/>
      <c r="N57" s="40">
        <f>365516.88</f>
        <v>365516.88</v>
      </c>
      <c r="O57" s="40"/>
    </row>
    <row r="58" spans="1:15" s="1" customFormat="1" ht="13.5" customHeight="1">
      <c r="A58" s="36" t="s">
        <v>90</v>
      </c>
      <c r="B58" s="36"/>
      <c r="C58" s="36"/>
      <c r="D58" s="36"/>
      <c r="E58" s="36"/>
      <c r="F58" s="36"/>
      <c r="G58" s="37" t="s">
        <v>87</v>
      </c>
      <c r="H58" s="37" t="s">
        <v>115</v>
      </c>
      <c r="I58" s="38">
        <f>304200</f>
        <v>304200</v>
      </c>
      <c r="J58" s="39">
        <f>184217.84</f>
        <v>184217.84</v>
      </c>
      <c r="K58" s="39"/>
      <c r="L58" s="39"/>
      <c r="M58" s="39"/>
      <c r="N58" s="40">
        <f>119982.16</f>
        <v>119982.16</v>
      </c>
      <c r="O58" s="40"/>
    </row>
    <row r="59" spans="1:15" s="1" customFormat="1" ht="13.5" customHeight="1">
      <c r="A59" s="36" t="s">
        <v>100</v>
      </c>
      <c r="B59" s="36"/>
      <c r="C59" s="36"/>
      <c r="D59" s="36"/>
      <c r="E59" s="36"/>
      <c r="F59" s="36"/>
      <c r="G59" s="37" t="s">
        <v>87</v>
      </c>
      <c r="H59" s="37" t="s">
        <v>116</v>
      </c>
      <c r="I59" s="38">
        <f>229000</f>
        <v>229000</v>
      </c>
      <c r="J59" s="39">
        <f>128108.63</f>
        <v>128108.63</v>
      </c>
      <c r="K59" s="39"/>
      <c r="L59" s="39"/>
      <c r="M59" s="39"/>
      <c r="N59" s="40">
        <f>100891.37</f>
        <v>100891.37</v>
      </c>
      <c r="O59" s="40"/>
    </row>
    <row r="60" spans="1:15" s="1" customFormat="1" ht="13.5" customHeight="1">
      <c r="A60" s="36" t="s">
        <v>102</v>
      </c>
      <c r="B60" s="36"/>
      <c r="C60" s="36"/>
      <c r="D60" s="36"/>
      <c r="E60" s="36"/>
      <c r="F60" s="36"/>
      <c r="G60" s="37" t="s">
        <v>87</v>
      </c>
      <c r="H60" s="37" t="s">
        <v>117</v>
      </c>
      <c r="I60" s="38">
        <f>131020</f>
        <v>131020</v>
      </c>
      <c r="J60" s="39">
        <f>131020</f>
        <v>131020</v>
      </c>
      <c r="K60" s="39"/>
      <c r="L60" s="39"/>
      <c r="M60" s="39"/>
      <c r="N60" s="40">
        <f>0</f>
        <v>0</v>
      </c>
      <c r="O60" s="40"/>
    </row>
    <row r="61" spans="1:15" s="1" customFormat="1" ht="13.5" customHeight="1">
      <c r="A61" s="36" t="s">
        <v>104</v>
      </c>
      <c r="B61" s="36"/>
      <c r="C61" s="36"/>
      <c r="D61" s="36"/>
      <c r="E61" s="36"/>
      <c r="F61" s="36"/>
      <c r="G61" s="37" t="s">
        <v>87</v>
      </c>
      <c r="H61" s="37" t="s">
        <v>118</v>
      </c>
      <c r="I61" s="38">
        <f>26980</f>
        <v>26980</v>
      </c>
      <c r="J61" s="39">
        <f>10000</f>
        <v>10000</v>
      </c>
      <c r="K61" s="39"/>
      <c r="L61" s="39"/>
      <c r="M61" s="39"/>
      <c r="N61" s="40">
        <f>16980</f>
        <v>16980</v>
      </c>
      <c r="O61" s="40"/>
    </row>
    <row r="62" spans="1:15" s="1" customFormat="1" ht="13.5" customHeight="1">
      <c r="A62" s="36" t="s">
        <v>106</v>
      </c>
      <c r="B62" s="36"/>
      <c r="C62" s="36"/>
      <c r="D62" s="36"/>
      <c r="E62" s="36"/>
      <c r="F62" s="36"/>
      <c r="G62" s="37" t="s">
        <v>87</v>
      </c>
      <c r="H62" s="37" t="s">
        <v>119</v>
      </c>
      <c r="I62" s="38">
        <f>1200</f>
        <v>1200</v>
      </c>
      <c r="J62" s="41" t="s">
        <v>63</v>
      </c>
      <c r="K62" s="41"/>
      <c r="L62" s="41"/>
      <c r="M62" s="41"/>
      <c r="N62" s="40">
        <f>1200</f>
        <v>1200</v>
      </c>
      <c r="O62" s="40"/>
    </row>
    <row r="63" spans="1:15" s="1" customFormat="1" ht="13.5" customHeight="1">
      <c r="A63" s="36" t="s">
        <v>100</v>
      </c>
      <c r="B63" s="36"/>
      <c r="C63" s="36"/>
      <c r="D63" s="36"/>
      <c r="E63" s="36"/>
      <c r="F63" s="36"/>
      <c r="G63" s="37" t="s">
        <v>87</v>
      </c>
      <c r="H63" s="37" t="s">
        <v>120</v>
      </c>
      <c r="I63" s="38">
        <f>1750</f>
        <v>1750</v>
      </c>
      <c r="J63" s="39">
        <f>446.74</f>
        <v>446.74</v>
      </c>
      <c r="K63" s="39"/>
      <c r="L63" s="39"/>
      <c r="M63" s="39"/>
      <c r="N63" s="40">
        <f>1303.26</f>
        <v>1303.26</v>
      </c>
      <c r="O63" s="40"/>
    </row>
    <row r="64" spans="1:15" s="1" customFormat="1" ht="13.5" customHeight="1">
      <c r="A64" s="36" t="s">
        <v>106</v>
      </c>
      <c r="B64" s="36"/>
      <c r="C64" s="36"/>
      <c r="D64" s="36"/>
      <c r="E64" s="36"/>
      <c r="F64" s="36"/>
      <c r="G64" s="37" t="s">
        <v>87</v>
      </c>
      <c r="H64" s="37" t="s">
        <v>121</v>
      </c>
      <c r="I64" s="38">
        <f>299300</f>
        <v>299300</v>
      </c>
      <c r="J64" s="39">
        <f>140950</f>
        <v>140950</v>
      </c>
      <c r="K64" s="39"/>
      <c r="L64" s="39"/>
      <c r="M64" s="39"/>
      <c r="N64" s="40">
        <f>158350</f>
        <v>158350</v>
      </c>
      <c r="O64" s="40"/>
    </row>
    <row r="65" spans="1:15" s="1" customFormat="1" ht="13.5" customHeight="1">
      <c r="A65" s="36" t="s">
        <v>100</v>
      </c>
      <c r="B65" s="36"/>
      <c r="C65" s="36"/>
      <c r="D65" s="36"/>
      <c r="E65" s="36"/>
      <c r="F65" s="36"/>
      <c r="G65" s="37" t="s">
        <v>87</v>
      </c>
      <c r="H65" s="37" t="s">
        <v>122</v>
      </c>
      <c r="I65" s="38">
        <f>240000</f>
        <v>240000</v>
      </c>
      <c r="J65" s="39">
        <f>109483.33</f>
        <v>109483.33</v>
      </c>
      <c r="K65" s="39"/>
      <c r="L65" s="39"/>
      <c r="M65" s="39"/>
      <c r="N65" s="40">
        <f>130516.67</f>
        <v>130516.67</v>
      </c>
      <c r="O65" s="40"/>
    </row>
    <row r="66" spans="1:15" s="1" customFormat="1" ht="13.5" customHeight="1">
      <c r="A66" s="36" t="s">
        <v>98</v>
      </c>
      <c r="B66" s="36"/>
      <c r="C66" s="36"/>
      <c r="D66" s="36"/>
      <c r="E66" s="36"/>
      <c r="F66" s="36"/>
      <c r="G66" s="37" t="s">
        <v>87</v>
      </c>
      <c r="H66" s="37" t="s">
        <v>123</v>
      </c>
      <c r="I66" s="38">
        <f>200000</f>
        <v>200000</v>
      </c>
      <c r="J66" s="41" t="s">
        <v>63</v>
      </c>
      <c r="K66" s="41"/>
      <c r="L66" s="41"/>
      <c r="M66" s="41"/>
      <c r="N66" s="40">
        <f>200000</f>
        <v>200000</v>
      </c>
      <c r="O66" s="40"/>
    </row>
    <row r="67" spans="1:15" s="1" customFormat="1" ht="13.5" customHeight="1">
      <c r="A67" s="36" t="s">
        <v>100</v>
      </c>
      <c r="B67" s="36"/>
      <c r="C67" s="36"/>
      <c r="D67" s="36"/>
      <c r="E67" s="36"/>
      <c r="F67" s="36"/>
      <c r="G67" s="37" t="s">
        <v>87</v>
      </c>
      <c r="H67" s="37" t="s">
        <v>124</v>
      </c>
      <c r="I67" s="38">
        <f>240000</f>
        <v>240000</v>
      </c>
      <c r="J67" s="39">
        <f>175330</f>
        <v>175330</v>
      </c>
      <c r="K67" s="39"/>
      <c r="L67" s="39"/>
      <c r="M67" s="39"/>
      <c r="N67" s="40">
        <f>64670</f>
        <v>64670</v>
      </c>
      <c r="O67" s="40"/>
    </row>
    <row r="68" spans="1:15" s="1" customFormat="1" ht="13.5" customHeight="1">
      <c r="A68" s="36" t="s">
        <v>88</v>
      </c>
      <c r="B68" s="36"/>
      <c r="C68" s="36"/>
      <c r="D68" s="36"/>
      <c r="E68" s="36"/>
      <c r="F68" s="36"/>
      <c r="G68" s="37" t="s">
        <v>87</v>
      </c>
      <c r="H68" s="37" t="s">
        <v>125</v>
      </c>
      <c r="I68" s="38">
        <f>1485971</f>
        <v>1485971</v>
      </c>
      <c r="J68" s="39">
        <f>641399.5</f>
        <v>641399.5</v>
      </c>
      <c r="K68" s="39"/>
      <c r="L68" s="39"/>
      <c r="M68" s="39"/>
      <c r="N68" s="40">
        <f>844571.5</f>
        <v>844571.5</v>
      </c>
      <c r="O68" s="40"/>
    </row>
    <row r="69" spans="1:15" s="1" customFormat="1" ht="13.5" customHeight="1">
      <c r="A69" s="36" t="s">
        <v>90</v>
      </c>
      <c r="B69" s="36"/>
      <c r="C69" s="36"/>
      <c r="D69" s="36"/>
      <c r="E69" s="36"/>
      <c r="F69" s="36"/>
      <c r="G69" s="37" t="s">
        <v>87</v>
      </c>
      <c r="H69" s="37" t="s">
        <v>126</v>
      </c>
      <c r="I69" s="38">
        <f>448763</f>
        <v>448763</v>
      </c>
      <c r="J69" s="39">
        <f>187519.26</f>
        <v>187519.26</v>
      </c>
      <c r="K69" s="39"/>
      <c r="L69" s="39"/>
      <c r="M69" s="39"/>
      <c r="N69" s="40">
        <f>261243.74</f>
        <v>261243.74</v>
      </c>
      <c r="O69" s="40"/>
    </row>
    <row r="70" spans="1:15" s="1" customFormat="1" ht="13.5" customHeight="1">
      <c r="A70" s="36" t="s">
        <v>98</v>
      </c>
      <c r="B70" s="36"/>
      <c r="C70" s="36"/>
      <c r="D70" s="36"/>
      <c r="E70" s="36"/>
      <c r="F70" s="36"/>
      <c r="G70" s="37" t="s">
        <v>87</v>
      </c>
      <c r="H70" s="37" t="s">
        <v>127</v>
      </c>
      <c r="I70" s="38">
        <f>65000</f>
        <v>65000</v>
      </c>
      <c r="J70" s="41" t="s">
        <v>63</v>
      </c>
      <c r="K70" s="41"/>
      <c r="L70" s="41"/>
      <c r="M70" s="41"/>
      <c r="N70" s="40">
        <f>65000</f>
        <v>65000</v>
      </c>
      <c r="O70" s="40"/>
    </row>
    <row r="71" spans="1:15" s="1" customFormat="1" ht="13.5" customHeight="1">
      <c r="A71" s="36" t="s">
        <v>100</v>
      </c>
      <c r="B71" s="36"/>
      <c r="C71" s="36"/>
      <c r="D71" s="36"/>
      <c r="E71" s="36"/>
      <c r="F71" s="36"/>
      <c r="G71" s="37" t="s">
        <v>87</v>
      </c>
      <c r="H71" s="37" t="s">
        <v>128</v>
      </c>
      <c r="I71" s="38">
        <f>19500</f>
        <v>19500</v>
      </c>
      <c r="J71" s="39">
        <f>11891.1</f>
        <v>11891.1</v>
      </c>
      <c r="K71" s="39"/>
      <c r="L71" s="39"/>
      <c r="M71" s="39"/>
      <c r="N71" s="40">
        <f>7608.9</f>
        <v>7608.9</v>
      </c>
      <c r="O71" s="40"/>
    </row>
    <row r="72" spans="1:15" s="1" customFormat="1" ht="13.5" customHeight="1">
      <c r="A72" s="36" t="s">
        <v>102</v>
      </c>
      <c r="B72" s="36"/>
      <c r="C72" s="36"/>
      <c r="D72" s="36"/>
      <c r="E72" s="36"/>
      <c r="F72" s="36"/>
      <c r="G72" s="37" t="s">
        <v>87</v>
      </c>
      <c r="H72" s="37" t="s">
        <v>129</v>
      </c>
      <c r="I72" s="38">
        <f>700000</f>
        <v>700000</v>
      </c>
      <c r="J72" s="41" t="s">
        <v>63</v>
      </c>
      <c r="K72" s="41"/>
      <c r="L72" s="41"/>
      <c r="M72" s="41"/>
      <c r="N72" s="40">
        <f>700000</f>
        <v>700000</v>
      </c>
      <c r="O72" s="40"/>
    </row>
    <row r="73" spans="1:15" s="1" customFormat="1" ht="13.5" customHeight="1">
      <c r="A73" s="36" t="s">
        <v>104</v>
      </c>
      <c r="B73" s="36"/>
      <c r="C73" s="36"/>
      <c r="D73" s="36"/>
      <c r="E73" s="36"/>
      <c r="F73" s="36"/>
      <c r="G73" s="37" t="s">
        <v>87</v>
      </c>
      <c r="H73" s="37" t="s">
        <v>130</v>
      </c>
      <c r="I73" s="38">
        <f>174225</f>
        <v>174225</v>
      </c>
      <c r="J73" s="39">
        <f>138521.3</f>
        <v>138521.3</v>
      </c>
      <c r="K73" s="39"/>
      <c r="L73" s="39"/>
      <c r="M73" s="39"/>
      <c r="N73" s="40">
        <f>35703.7</f>
        <v>35703.7</v>
      </c>
      <c r="O73" s="40"/>
    </row>
    <row r="74" spans="1:15" s="1" customFormat="1" ht="13.5" customHeight="1">
      <c r="A74" s="36" t="s">
        <v>106</v>
      </c>
      <c r="B74" s="36"/>
      <c r="C74" s="36"/>
      <c r="D74" s="36"/>
      <c r="E74" s="36"/>
      <c r="F74" s="36"/>
      <c r="G74" s="37" t="s">
        <v>87</v>
      </c>
      <c r="H74" s="37" t="s">
        <v>131</v>
      </c>
      <c r="I74" s="38">
        <f>25000</f>
        <v>25000</v>
      </c>
      <c r="J74" s="39">
        <f>1600</f>
        <v>1600</v>
      </c>
      <c r="K74" s="39"/>
      <c r="L74" s="39"/>
      <c r="M74" s="39"/>
      <c r="N74" s="40">
        <f>23400</f>
        <v>23400</v>
      </c>
      <c r="O74" s="40"/>
    </row>
    <row r="75" spans="1:15" s="1" customFormat="1" ht="13.5" customHeight="1">
      <c r="A75" s="36" t="s">
        <v>100</v>
      </c>
      <c r="B75" s="36"/>
      <c r="C75" s="36"/>
      <c r="D75" s="36"/>
      <c r="E75" s="36"/>
      <c r="F75" s="36"/>
      <c r="G75" s="37" t="s">
        <v>87</v>
      </c>
      <c r="H75" s="37" t="s">
        <v>132</v>
      </c>
      <c r="I75" s="38">
        <f>80000</f>
        <v>80000</v>
      </c>
      <c r="J75" s="41" t="s">
        <v>63</v>
      </c>
      <c r="K75" s="41"/>
      <c r="L75" s="41"/>
      <c r="M75" s="41"/>
      <c r="N75" s="40">
        <f>80000</f>
        <v>80000</v>
      </c>
      <c r="O75" s="40"/>
    </row>
    <row r="76" spans="1:15" s="1" customFormat="1" ht="13.5" customHeight="1">
      <c r="A76" s="36" t="s">
        <v>88</v>
      </c>
      <c r="B76" s="36"/>
      <c r="C76" s="36"/>
      <c r="D76" s="36"/>
      <c r="E76" s="36"/>
      <c r="F76" s="36"/>
      <c r="G76" s="37" t="s">
        <v>87</v>
      </c>
      <c r="H76" s="37" t="s">
        <v>133</v>
      </c>
      <c r="I76" s="38">
        <f>125200</f>
        <v>125200</v>
      </c>
      <c r="J76" s="39">
        <f>88254.43</f>
        <v>88254.43</v>
      </c>
      <c r="K76" s="39"/>
      <c r="L76" s="39"/>
      <c r="M76" s="39"/>
      <c r="N76" s="40">
        <f>36945.57</f>
        <v>36945.57</v>
      </c>
      <c r="O76" s="40"/>
    </row>
    <row r="77" spans="1:15" s="1" customFormat="1" ht="13.5" customHeight="1">
      <c r="A77" s="36" t="s">
        <v>90</v>
      </c>
      <c r="B77" s="36"/>
      <c r="C77" s="36"/>
      <c r="D77" s="36"/>
      <c r="E77" s="36"/>
      <c r="F77" s="36"/>
      <c r="G77" s="37" t="s">
        <v>87</v>
      </c>
      <c r="H77" s="37" t="s">
        <v>134</v>
      </c>
      <c r="I77" s="38">
        <f>37800</f>
        <v>37800</v>
      </c>
      <c r="J77" s="39">
        <f>25740</f>
        <v>25740</v>
      </c>
      <c r="K77" s="39"/>
      <c r="L77" s="39"/>
      <c r="M77" s="39"/>
      <c r="N77" s="40">
        <f>12060</f>
        <v>12060</v>
      </c>
      <c r="O77" s="40"/>
    </row>
    <row r="78" spans="1:15" s="1" customFormat="1" ht="13.5" customHeight="1">
      <c r="A78" s="36" t="s">
        <v>100</v>
      </c>
      <c r="B78" s="36"/>
      <c r="C78" s="36"/>
      <c r="D78" s="36"/>
      <c r="E78" s="36"/>
      <c r="F78" s="36"/>
      <c r="G78" s="37" t="s">
        <v>87</v>
      </c>
      <c r="H78" s="37" t="s">
        <v>135</v>
      </c>
      <c r="I78" s="38">
        <f>600</f>
        <v>600</v>
      </c>
      <c r="J78" s="39">
        <f>315.75</f>
        <v>315.75</v>
      </c>
      <c r="K78" s="39"/>
      <c r="L78" s="39"/>
      <c r="M78" s="39"/>
      <c r="N78" s="40">
        <f>284.25</f>
        <v>284.25</v>
      </c>
      <c r="O78" s="40"/>
    </row>
    <row r="79" spans="1:15" s="1" customFormat="1" ht="13.5" customHeight="1">
      <c r="A79" s="36" t="s">
        <v>110</v>
      </c>
      <c r="B79" s="36"/>
      <c r="C79" s="36"/>
      <c r="D79" s="36"/>
      <c r="E79" s="36"/>
      <c r="F79" s="36"/>
      <c r="G79" s="37" t="s">
        <v>87</v>
      </c>
      <c r="H79" s="37" t="s">
        <v>136</v>
      </c>
      <c r="I79" s="38">
        <f>438900</f>
        <v>438900</v>
      </c>
      <c r="J79" s="39">
        <f>438900</f>
        <v>438900</v>
      </c>
      <c r="K79" s="39"/>
      <c r="L79" s="39"/>
      <c r="M79" s="39"/>
      <c r="N79" s="40">
        <f>0</f>
        <v>0</v>
      </c>
      <c r="O79" s="40"/>
    </row>
    <row r="80" spans="1:15" s="1" customFormat="1" ht="13.5" customHeight="1">
      <c r="A80" s="36" t="s">
        <v>100</v>
      </c>
      <c r="B80" s="36"/>
      <c r="C80" s="36"/>
      <c r="D80" s="36"/>
      <c r="E80" s="36"/>
      <c r="F80" s="36"/>
      <c r="G80" s="37" t="s">
        <v>87</v>
      </c>
      <c r="H80" s="37" t="s">
        <v>137</v>
      </c>
      <c r="I80" s="38">
        <f>100000</f>
        <v>100000</v>
      </c>
      <c r="J80" s="41" t="s">
        <v>63</v>
      </c>
      <c r="K80" s="41"/>
      <c r="L80" s="41"/>
      <c r="M80" s="41"/>
      <c r="N80" s="40">
        <f>100000</f>
        <v>100000</v>
      </c>
      <c r="O80" s="40"/>
    </row>
    <row r="81" spans="1:15" s="1" customFormat="1" ht="13.5" customHeight="1">
      <c r="A81" s="36" t="s">
        <v>100</v>
      </c>
      <c r="B81" s="36"/>
      <c r="C81" s="36"/>
      <c r="D81" s="36"/>
      <c r="E81" s="36"/>
      <c r="F81" s="36"/>
      <c r="G81" s="37" t="s">
        <v>87</v>
      </c>
      <c r="H81" s="37" t="s">
        <v>138</v>
      </c>
      <c r="I81" s="38">
        <f>99000</f>
        <v>99000</v>
      </c>
      <c r="J81" s="39">
        <f>98000</f>
        <v>98000</v>
      </c>
      <c r="K81" s="39"/>
      <c r="L81" s="39"/>
      <c r="M81" s="39"/>
      <c r="N81" s="40">
        <f>1000</f>
        <v>1000</v>
      </c>
      <c r="O81" s="40"/>
    </row>
    <row r="82" spans="1:15" s="1" customFormat="1" ht="13.5" customHeight="1">
      <c r="A82" s="36" t="s">
        <v>104</v>
      </c>
      <c r="B82" s="36"/>
      <c r="C82" s="36"/>
      <c r="D82" s="36"/>
      <c r="E82" s="36"/>
      <c r="F82" s="36"/>
      <c r="G82" s="37" t="s">
        <v>87</v>
      </c>
      <c r="H82" s="37" t="s">
        <v>139</v>
      </c>
      <c r="I82" s="38">
        <f>10000</f>
        <v>10000</v>
      </c>
      <c r="J82" s="39">
        <f>10000</f>
        <v>10000</v>
      </c>
      <c r="K82" s="39"/>
      <c r="L82" s="39"/>
      <c r="M82" s="39"/>
      <c r="N82" s="40">
        <f>0</f>
        <v>0</v>
      </c>
      <c r="O82" s="40"/>
    </row>
    <row r="83" spans="1:15" s="1" customFormat="1" ht="13.5" customHeight="1">
      <c r="A83" s="36" t="s">
        <v>104</v>
      </c>
      <c r="B83" s="36"/>
      <c r="C83" s="36"/>
      <c r="D83" s="36"/>
      <c r="E83" s="36"/>
      <c r="F83" s="36"/>
      <c r="G83" s="37" t="s">
        <v>87</v>
      </c>
      <c r="H83" s="37" t="s">
        <v>140</v>
      </c>
      <c r="I83" s="38">
        <f>15000</f>
        <v>15000</v>
      </c>
      <c r="J83" s="39">
        <f>7500</f>
        <v>7500</v>
      </c>
      <c r="K83" s="39"/>
      <c r="L83" s="39"/>
      <c r="M83" s="39"/>
      <c r="N83" s="40">
        <f>7500</f>
        <v>7500</v>
      </c>
      <c r="O83" s="40"/>
    </row>
    <row r="84" spans="1:15" s="1" customFormat="1" ht="13.5" customHeight="1">
      <c r="A84" s="36" t="s">
        <v>104</v>
      </c>
      <c r="B84" s="36"/>
      <c r="C84" s="36"/>
      <c r="D84" s="36"/>
      <c r="E84" s="36"/>
      <c r="F84" s="36"/>
      <c r="G84" s="37" t="s">
        <v>87</v>
      </c>
      <c r="H84" s="37" t="s">
        <v>141</v>
      </c>
      <c r="I84" s="38">
        <f>17000</f>
        <v>17000</v>
      </c>
      <c r="J84" s="39">
        <f>16994</f>
        <v>16994</v>
      </c>
      <c r="K84" s="39"/>
      <c r="L84" s="39"/>
      <c r="M84" s="39"/>
      <c r="N84" s="40">
        <f>6</f>
        <v>6</v>
      </c>
      <c r="O84" s="40"/>
    </row>
    <row r="85" spans="1:15" s="1" customFormat="1" ht="13.5" customHeight="1">
      <c r="A85" s="36" t="s">
        <v>102</v>
      </c>
      <c r="B85" s="36"/>
      <c r="C85" s="36"/>
      <c r="D85" s="36"/>
      <c r="E85" s="36"/>
      <c r="F85" s="36"/>
      <c r="G85" s="37" t="s">
        <v>87</v>
      </c>
      <c r="H85" s="37" t="s">
        <v>142</v>
      </c>
      <c r="I85" s="38">
        <f>32720</f>
        <v>32720</v>
      </c>
      <c r="J85" s="39">
        <f>32720</f>
        <v>32720</v>
      </c>
      <c r="K85" s="39"/>
      <c r="L85" s="39"/>
      <c r="M85" s="39"/>
      <c r="N85" s="40">
        <f>0</f>
        <v>0</v>
      </c>
      <c r="O85" s="40"/>
    </row>
    <row r="86" spans="1:15" s="1" customFormat="1" ht="13.5" customHeight="1">
      <c r="A86" s="36" t="s">
        <v>104</v>
      </c>
      <c r="B86" s="36"/>
      <c r="C86" s="36"/>
      <c r="D86" s="36"/>
      <c r="E86" s="36"/>
      <c r="F86" s="36"/>
      <c r="G86" s="37" t="s">
        <v>87</v>
      </c>
      <c r="H86" s="37" t="s">
        <v>143</v>
      </c>
      <c r="I86" s="38">
        <f>77280</f>
        <v>77280</v>
      </c>
      <c r="J86" s="39">
        <f>3800</f>
        <v>3800</v>
      </c>
      <c r="K86" s="39"/>
      <c r="L86" s="39"/>
      <c r="M86" s="39"/>
      <c r="N86" s="40">
        <f>73480</f>
        <v>73480</v>
      </c>
      <c r="O86" s="40"/>
    </row>
    <row r="87" spans="1:15" s="1" customFormat="1" ht="13.5" customHeight="1">
      <c r="A87" s="36" t="s">
        <v>104</v>
      </c>
      <c r="B87" s="36"/>
      <c r="C87" s="36"/>
      <c r="D87" s="36"/>
      <c r="E87" s="36"/>
      <c r="F87" s="36"/>
      <c r="G87" s="37" t="s">
        <v>87</v>
      </c>
      <c r="H87" s="37" t="s">
        <v>144</v>
      </c>
      <c r="I87" s="38">
        <f>10000</f>
        <v>10000</v>
      </c>
      <c r="J87" s="41" t="s">
        <v>63</v>
      </c>
      <c r="K87" s="41"/>
      <c r="L87" s="41"/>
      <c r="M87" s="41"/>
      <c r="N87" s="40">
        <f>10000</f>
        <v>10000</v>
      </c>
      <c r="O87" s="40"/>
    </row>
    <row r="88" spans="1:15" s="1" customFormat="1" ht="13.5" customHeight="1">
      <c r="A88" s="36" t="s">
        <v>98</v>
      </c>
      <c r="B88" s="36"/>
      <c r="C88" s="36"/>
      <c r="D88" s="36"/>
      <c r="E88" s="36"/>
      <c r="F88" s="36"/>
      <c r="G88" s="37" t="s">
        <v>87</v>
      </c>
      <c r="H88" s="37" t="s">
        <v>145</v>
      </c>
      <c r="I88" s="38">
        <f>168910</f>
        <v>168910</v>
      </c>
      <c r="J88" s="39">
        <f>168910</f>
        <v>168910</v>
      </c>
      <c r="K88" s="39"/>
      <c r="L88" s="39"/>
      <c r="M88" s="39"/>
      <c r="N88" s="40">
        <f>0</f>
        <v>0</v>
      </c>
      <c r="O88" s="40"/>
    </row>
    <row r="89" spans="1:15" s="1" customFormat="1" ht="13.5" customHeight="1">
      <c r="A89" s="36" t="s">
        <v>98</v>
      </c>
      <c r="B89" s="36"/>
      <c r="C89" s="36"/>
      <c r="D89" s="36"/>
      <c r="E89" s="36"/>
      <c r="F89" s="36"/>
      <c r="G89" s="37" t="s">
        <v>87</v>
      </c>
      <c r="H89" s="37" t="s">
        <v>146</v>
      </c>
      <c r="I89" s="38">
        <f>1516084</f>
        <v>1516084</v>
      </c>
      <c r="J89" s="39">
        <f>1516084</f>
        <v>1516084</v>
      </c>
      <c r="K89" s="39"/>
      <c r="L89" s="39"/>
      <c r="M89" s="39"/>
      <c r="N89" s="40">
        <f>0</f>
        <v>0</v>
      </c>
      <c r="O89" s="40"/>
    </row>
    <row r="90" spans="1:15" s="1" customFormat="1" ht="13.5" customHeight="1">
      <c r="A90" s="36" t="s">
        <v>98</v>
      </c>
      <c r="B90" s="36"/>
      <c r="C90" s="36"/>
      <c r="D90" s="36"/>
      <c r="E90" s="36"/>
      <c r="F90" s="36"/>
      <c r="G90" s="37" t="s">
        <v>87</v>
      </c>
      <c r="H90" s="37" t="s">
        <v>147</v>
      </c>
      <c r="I90" s="38">
        <f>8392106</f>
        <v>8392106</v>
      </c>
      <c r="J90" s="39">
        <f>49499</f>
        <v>49499</v>
      </c>
      <c r="K90" s="39"/>
      <c r="L90" s="39"/>
      <c r="M90" s="39"/>
      <c r="N90" s="40">
        <f>8342607</f>
        <v>8342607</v>
      </c>
      <c r="O90" s="40"/>
    </row>
    <row r="91" spans="1:15" s="1" customFormat="1" ht="13.5" customHeight="1">
      <c r="A91" s="36" t="s">
        <v>100</v>
      </c>
      <c r="B91" s="36"/>
      <c r="C91" s="36"/>
      <c r="D91" s="36"/>
      <c r="E91" s="36"/>
      <c r="F91" s="36"/>
      <c r="G91" s="37" t="s">
        <v>87</v>
      </c>
      <c r="H91" s="37" t="s">
        <v>148</v>
      </c>
      <c r="I91" s="38">
        <f>350000</f>
        <v>350000</v>
      </c>
      <c r="J91" s="39">
        <f>319736.29</f>
        <v>319736.29</v>
      </c>
      <c r="K91" s="39"/>
      <c r="L91" s="39"/>
      <c r="M91" s="39"/>
      <c r="N91" s="40">
        <f>30263.71</f>
        <v>30263.71</v>
      </c>
      <c r="O91" s="40"/>
    </row>
    <row r="92" spans="1:15" s="1" customFormat="1" ht="13.5" customHeight="1">
      <c r="A92" s="36" t="s">
        <v>104</v>
      </c>
      <c r="B92" s="36"/>
      <c r="C92" s="36"/>
      <c r="D92" s="36"/>
      <c r="E92" s="36"/>
      <c r="F92" s="36"/>
      <c r="G92" s="37" t="s">
        <v>87</v>
      </c>
      <c r="H92" s="37" t="s">
        <v>149</v>
      </c>
      <c r="I92" s="38">
        <f>400000</f>
        <v>400000</v>
      </c>
      <c r="J92" s="41" t="s">
        <v>63</v>
      </c>
      <c r="K92" s="41"/>
      <c r="L92" s="41"/>
      <c r="M92" s="41"/>
      <c r="N92" s="40">
        <f>400000</f>
        <v>400000</v>
      </c>
      <c r="O92" s="40"/>
    </row>
    <row r="93" spans="1:15" s="1" customFormat="1" ht="13.5" customHeight="1">
      <c r="A93" s="36" t="s">
        <v>98</v>
      </c>
      <c r="B93" s="36"/>
      <c r="C93" s="36"/>
      <c r="D93" s="36"/>
      <c r="E93" s="36"/>
      <c r="F93" s="36"/>
      <c r="G93" s="37" t="s">
        <v>87</v>
      </c>
      <c r="H93" s="37" t="s">
        <v>150</v>
      </c>
      <c r="I93" s="38">
        <f>550000</f>
        <v>550000</v>
      </c>
      <c r="J93" s="39">
        <f>64400</f>
        <v>64400</v>
      </c>
      <c r="K93" s="39"/>
      <c r="L93" s="39"/>
      <c r="M93" s="39"/>
      <c r="N93" s="40">
        <f>485600</f>
        <v>485600</v>
      </c>
      <c r="O93" s="40"/>
    </row>
    <row r="94" spans="1:15" s="1" customFormat="1" ht="13.5" customHeight="1">
      <c r="A94" s="36" t="s">
        <v>104</v>
      </c>
      <c r="B94" s="36"/>
      <c r="C94" s="36"/>
      <c r="D94" s="36"/>
      <c r="E94" s="36"/>
      <c r="F94" s="36"/>
      <c r="G94" s="37" t="s">
        <v>87</v>
      </c>
      <c r="H94" s="37" t="s">
        <v>151</v>
      </c>
      <c r="I94" s="38">
        <f>150000</f>
        <v>150000</v>
      </c>
      <c r="J94" s="39">
        <f>121300</f>
        <v>121300</v>
      </c>
      <c r="K94" s="39"/>
      <c r="L94" s="39"/>
      <c r="M94" s="39"/>
      <c r="N94" s="40">
        <f>28700</f>
        <v>28700</v>
      </c>
      <c r="O94" s="40"/>
    </row>
    <row r="95" spans="1:15" s="1" customFormat="1" ht="13.5" customHeight="1">
      <c r="A95" s="36" t="s">
        <v>100</v>
      </c>
      <c r="B95" s="36"/>
      <c r="C95" s="36"/>
      <c r="D95" s="36"/>
      <c r="E95" s="36"/>
      <c r="F95" s="36"/>
      <c r="G95" s="37" t="s">
        <v>87</v>
      </c>
      <c r="H95" s="37" t="s">
        <v>152</v>
      </c>
      <c r="I95" s="38">
        <f>50000</f>
        <v>50000</v>
      </c>
      <c r="J95" s="39">
        <f>0</f>
        <v>0</v>
      </c>
      <c r="K95" s="39"/>
      <c r="L95" s="39"/>
      <c r="M95" s="39"/>
      <c r="N95" s="40">
        <f>50000</f>
        <v>50000</v>
      </c>
      <c r="O95" s="40"/>
    </row>
    <row r="96" spans="1:15" s="1" customFormat="1" ht="13.5" customHeight="1">
      <c r="A96" s="36" t="s">
        <v>98</v>
      </c>
      <c r="B96" s="36"/>
      <c r="C96" s="36"/>
      <c r="D96" s="36"/>
      <c r="E96" s="36"/>
      <c r="F96" s="36"/>
      <c r="G96" s="37" t="s">
        <v>87</v>
      </c>
      <c r="H96" s="37" t="s">
        <v>153</v>
      </c>
      <c r="I96" s="38">
        <f>200000</f>
        <v>200000</v>
      </c>
      <c r="J96" s="41" t="s">
        <v>63</v>
      </c>
      <c r="K96" s="41"/>
      <c r="L96" s="41"/>
      <c r="M96" s="41"/>
      <c r="N96" s="40">
        <f>200000</f>
        <v>200000</v>
      </c>
      <c r="O96" s="40"/>
    </row>
    <row r="97" spans="1:15" s="1" customFormat="1" ht="13.5" customHeight="1">
      <c r="A97" s="36" t="s">
        <v>98</v>
      </c>
      <c r="B97" s="36"/>
      <c r="C97" s="36"/>
      <c r="D97" s="36"/>
      <c r="E97" s="36"/>
      <c r="F97" s="36"/>
      <c r="G97" s="37" t="s">
        <v>87</v>
      </c>
      <c r="H97" s="37" t="s">
        <v>154</v>
      </c>
      <c r="I97" s="38">
        <f>150000</f>
        <v>150000</v>
      </c>
      <c r="J97" s="41" t="s">
        <v>63</v>
      </c>
      <c r="K97" s="41"/>
      <c r="L97" s="41"/>
      <c r="M97" s="41"/>
      <c r="N97" s="40">
        <f>150000</f>
        <v>150000</v>
      </c>
      <c r="O97" s="40"/>
    </row>
    <row r="98" spans="1:15" s="1" customFormat="1" ht="13.5" customHeight="1">
      <c r="A98" s="36" t="s">
        <v>100</v>
      </c>
      <c r="B98" s="36"/>
      <c r="C98" s="36"/>
      <c r="D98" s="36"/>
      <c r="E98" s="36"/>
      <c r="F98" s="36"/>
      <c r="G98" s="37" t="s">
        <v>87</v>
      </c>
      <c r="H98" s="37" t="s">
        <v>155</v>
      </c>
      <c r="I98" s="38">
        <f>470000</f>
        <v>470000</v>
      </c>
      <c r="J98" s="39">
        <f>124811.84</f>
        <v>124811.84</v>
      </c>
      <c r="K98" s="39"/>
      <c r="L98" s="39"/>
      <c r="M98" s="39"/>
      <c r="N98" s="40">
        <f>345188.16</f>
        <v>345188.16</v>
      </c>
      <c r="O98" s="40"/>
    </row>
    <row r="99" spans="1:15" s="1" customFormat="1" ht="13.5" customHeight="1">
      <c r="A99" s="36" t="s">
        <v>100</v>
      </c>
      <c r="B99" s="36"/>
      <c r="C99" s="36"/>
      <c r="D99" s="36"/>
      <c r="E99" s="36"/>
      <c r="F99" s="36"/>
      <c r="G99" s="37" t="s">
        <v>87</v>
      </c>
      <c r="H99" s="37" t="s">
        <v>156</v>
      </c>
      <c r="I99" s="38">
        <f>51000</f>
        <v>51000</v>
      </c>
      <c r="J99" s="41" t="s">
        <v>63</v>
      </c>
      <c r="K99" s="41"/>
      <c r="L99" s="41"/>
      <c r="M99" s="41"/>
      <c r="N99" s="40">
        <f>51000</f>
        <v>51000</v>
      </c>
      <c r="O99" s="40"/>
    </row>
    <row r="100" spans="1:15" s="1" customFormat="1" ht="13.5" customHeight="1">
      <c r="A100" s="36" t="s">
        <v>100</v>
      </c>
      <c r="B100" s="36"/>
      <c r="C100" s="36"/>
      <c r="D100" s="36"/>
      <c r="E100" s="36"/>
      <c r="F100" s="36"/>
      <c r="G100" s="37" t="s">
        <v>87</v>
      </c>
      <c r="H100" s="37" t="s">
        <v>157</v>
      </c>
      <c r="I100" s="38">
        <f>455000</f>
        <v>455000</v>
      </c>
      <c r="J100" s="41" t="s">
        <v>63</v>
      </c>
      <c r="K100" s="41"/>
      <c r="L100" s="41"/>
      <c r="M100" s="41"/>
      <c r="N100" s="40">
        <f>455000</f>
        <v>455000</v>
      </c>
      <c r="O100" s="40"/>
    </row>
    <row r="101" spans="1:15" s="1" customFormat="1" ht="13.5" customHeight="1">
      <c r="A101" s="36" t="s">
        <v>100</v>
      </c>
      <c r="B101" s="36"/>
      <c r="C101" s="36"/>
      <c r="D101" s="36"/>
      <c r="E101" s="36"/>
      <c r="F101" s="36"/>
      <c r="G101" s="37" t="s">
        <v>87</v>
      </c>
      <c r="H101" s="37" t="s">
        <v>158</v>
      </c>
      <c r="I101" s="38">
        <f>300000</f>
        <v>300000</v>
      </c>
      <c r="J101" s="41" t="s">
        <v>63</v>
      </c>
      <c r="K101" s="41"/>
      <c r="L101" s="41"/>
      <c r="M101" s="41"/>
      <c r="N101" s="40">
        <f>300000</f>
        <v>300000</v>
      </c>
      <c r="O101" s="40"/>
    </row>
    <row r="102" spans="1:15" s="1" customFormat="1" ht="13.5" customHeight="1">
      <c r="A102" s="36" t="s">
        <v>100</v>
      </c>
      <c r="B102" s="36"/>
      <c r="C102" s="36"/>
      <c r="D102" s="36"/>
      <c r="E102" s="36"/>
      <c r="F102" s="36"/>
      <c r="G102" s="37" t="s">
        <v>87</v>
      </c>
      <c r="H102" s="37" t="s">
        <v>159</v>
      </c>
      <c r="I102" s="38">
        <f>500000</f>
        <v>500000</v>
      </c>
      <c r="J102" s="41" t="s">
        <v>63</v>
      </c>
      <c r="K102" s="41"/>
      <c r="L102" s="41"/>
      <c r="M102" s="41"/>
      <c r="N102" s="40">
        <f>500000</f>
        <v>500000</v>
      </c>
      <c r="O102" s="40"/>
    </row>
    <row r="103" spans="1:15" s="1" customFormat="1" ht="13.5" customHeight="1">
      <c r="A103" s="36" t="s">
        <v>102</v>
      </c>
      <c r="B103" s="36"/>
      <c r="C103" s="36"/>
      <c r="D103" s="36"/>
      <c r="E103" s="36"/>
      <c r="F103" s="36"/>
      <c r="G103" s="37" t="s">
        <v>87</v>
      </c>
      <c r="H103" s="37" t="s">
        <v>160</v>
      </c>
      <c r="I103" s="38">
        <f>2115000</f>
        <v>2115000</v>
      </c>
      <c r="J103" s="39">
        <f>2115000</f>
        <v>2115000</v>
      </c>
      <c r="K103" s="39"/>
      <c r="L103" s="39"/>
      <c r="M103" s="39"/>
      <c r="N103" s="40">
        <f>0</f>
        <v>0</v>
      </c>
      <c r="O103" s="40"/>
    </row>
    <row r="104" spans="1:15" s="1" customFormat="1" ht="13.5" customHeight="1">
      <c r="A104" s="36" t="s">
        <v>98</v>
      </c>
      <c r="B104" s="36"/>
      <c r="C104" s="36"/>
      <c r="D104" s="36"/>
      <c r="E104" s="36"/>
      <c r="F104" s="36"/>
      <c r="G104" s="37" t="s">
        <v>87</v>
      </c>
      <c r="H104" s="37" t="s">
        <v>161</v>
      </c>
      <c r="I104" s="38">
        <f>520000</f>
        <v>520000</v>
      </c>
      <c r="J104" s="41" t="s">
        <v>63</v>
      </c>
      <c r="K104" s="41"/>
      <c r="L104" s="41"/>
      <c r="M104" s="41"/>
      <c r="N104" s="40">
        <f>520000</f>
        <v>520000</v>
      </c>
      <c r="O104" s="40"/>
    </row>
    <row r="105" spans="1:15" s="1" customFormat="1" ht="13.5" customHeight="1">
      <c r="A105" s="36" t="s">
        <v>100</v>
      </c>
      <c r="B105" s="36"/>
      <c r="C105" s="36"/>
      <c r="D105" s="36"/>
      <c r="E105" s="36"/>
      <c r="F105" s="36"/>
      <c r="G105" s="37" t="s">
        <v>87</v>
      </c>
      <c r="H105" s="37" t="s">
        <v>162</v>
      </c>
      <c r="I105" s="38">
        <f>150000</f>
        <v>150000</v>
      </c>
      <c r="J105" s="41" t="s">
        <v>63</v>
      </c>
      <c r="K105" s="41"/>
      <c r="L105" s="41"/>
      <c r="M105" s="41"/>
      <c r="N105" s="40">
        <f>150000</f>
        <v>150000</v>
      </c>
      <c r="O105" s="40"/>
    </row>
    <row r="106" spans="1:15" s="1" customFormat="1" ht="13.5" customHeight="1">
      <c r="A106" s="36" t="s">
        <v>96</v>
      </c>
      <c r="B106" s="36"/>
      <c r="C106" s="36"/>
      <c r="D106" s="36"/>
      <c r="E106" s="36"/>
      <c r="F106" s="36"/>
      <c r="G106" s="37" t="s">
        <v>87</v>
      </c>
      <c r="H106" s="37" t="s">
        <v>163</v>
      </c>
      <c r="I106" s="38">
        <f>963600</f>
        <v>963600</v>
      </c>
      <c r="J106" s="39">
        <f>488494.78</f>
        <v>488494.78</v>
      </c>
      <c r="K106" s="39"/>
      <c r="L106" s="39"/>
      <c r="M106" s="39"/>
      <c r="N106" s="40">
        <f>475105.22</f>
        <v>475105.22</v>
      </c>
      <c r="O106" s="40"/>
    </row>
    <row r="107" spans="1:15" s="1" customFormat="1" ht="13.5" customHeight="1">
      <c r="A107" s="36" t="s">
        <v>98</v>
      </c>
      <c r="B107" s="36"/>
      <c r="C107" s="36"/>
      <c r="D107" s="36"/>
      <c r="E107" s="36"/>
      <c r="F107" s="36"/>
      <c r="G107" s="37" t="s">
        <v>87</v>
      </c>
      <c r="H107" s="37" t="s">
        <v>164</v>
      </c>
      <c r="I107" s="38">
        <f>600000</f>
        <v>600000</v>
      </c>
      <c r="J107" s="39">
        <f>424428</f>
        <v>424428</v>
      </c>
      <c r="K107" s="39"/>
      <c r="L107" s="39"/>
      <c r="M107" s="39"/>
      <c r="N107" s="40">
        <f>175572</f>
        <v>175572</v>
      </c>
      <c r="O107" s="40"/>
    </row>
    <row r="108" spans="1:15" s="1" customFormat="1" ht="13.5" customHeight="1">
      <c r="A108" s="36" t="s">
        <v>100</v>
      </c>
      <c r="B108" s="36"/>
      <c r="C108" s="36"/>
      <c r="D108" s="36"/>
      <c r="E108" s="36"/>
      <c r="F108" s="36"/>
      <c r="G108" s="37" t="s">
        <v>87</v>
      </c>
      <c r="H108" s="37" t="s">
        <v>165</v>
      </c>
      <c r="I108" s="38">
        <f>10000</f>
        <v>10000</v>
      </c>
      <c r="J108" s="41" t="s">
        <v>63</v>
      </c>
      <c r="K108" s="41"/>
      <c r="L108" s="41"/>
      <c r="M108" s="41"/>
      <c r="N108" s="40">
        <f>10000</f>
        <v>10000</v>
      </c>
      <c r="O108" s="40"/>
    </row>
    <row r="109" spans="1:15" s="1" customFormat="1" ht="13.5" customHeight="1">
      <c r="A109" s="36" t="s">
        <v>104</v>
      </c>
      <c r="B109" s="36"/>
      <c r="C109" s="36"/>
      <c r="D109" s="36"/>
      <c r="E109" s="36"/>
      <c r="F109" s="36"/>
      <c r="G109" s="37" t="s">
        <v>87</v>
      </c>
      <c r="H109" s="37" t="s">
        <v>166</v>
      </c>
      <c r="I109" s="38">
        <f>390000</f>
        <v>390000</v>
      </c>
      <c r="J109" s="39">
        <f>199723.9</f>
        <v>199723.9</v>
      </c>
      <c r="K109" s="39"/>
      <c r="L109" s="39"/>
      <c r="M109" s="39"/>
      <c r="N109" s="40">
        <f>190276.1</f>
        <v>190276.1</v>
      </c>
      <c r="O109" s="40"/>
    </row>
    <row r="110" spans="1:15" s="1" customFormat="1" ht="13.5" customHeight="1">
      <c r="A110" s="36" t="s">
        <v>98</v>
      </c>
      <c r="B110" s="36"/>
      <c r="C110" s="36"/>
      <c r="D110" s="36"/>
      <c r="E110" s="36"/>
      <c r="F110" s="36"/>
      <c r="G110" s="37" t="s">
        <v>87</v>
      </c>
      <c r="H110" s="37" t="s">
        <v>167</v>
      </c>
      <c r="I110" s="38">
        <f>450000</f>
        <v>450000</v>
      </c>
      <c r="J110" s="39">
        <f>311675.34</f>
        <v>311675.34</v>
      </c>
      <c r="K110" s="39"/>
      <c r="L110" s="39"/>
      <c r="M110" s="39"/>
      <c r="N110" s="40">
        <f>138324.66</f>
        <v>138324.66</v>
      </c>
      <c r="O110" s="40"/>
    </row>
    <row r="111" spans="1:15" s="1" customFormat="1" ht="13.5" customHeight="1">
      <c r="A111" s="36" t="s">
        <v>100</v>
      </c>
      <c r="B111" s="36"/>
      <c r="C111" s="36"/>
      <c r="D111" s="36"/>
      <c r="E111" s="36"/>
      <c r="F111" s="36"/>
      <c r="G111" s="37" t="s">
        <v>87</v>
      </c>
      <c r="H111" s="37" t="s">
        <v>168</v>
      </c>
      <c r="I111" s="38">
        <f>50000</f>
        <v>50000</v>
      </c>
      <c r="J111" s="41" t="s">
        <v>63</v>
      </c>
      <c r="K111" s="41"/>
      <c r="L111" s="41"/>
      <c r="M111" s="41"/>
      <c r="N111" s="40">
        <f>50000</f>
        <v>50000</v>
      </c>
      <c r="O111" s="40"/>
    </row>
    <row r="112" spans="1:15" s="1" customFormat="1" ht="13.5" customHeight="1">
      <c r="A112" s="36" t="s">
        <v>102</v>
      </c>
      <c r="B112" s="36"/>
      <c r="C112" s="36"/>
      <c r="D112" s="36"/>
      <c r="E112" s="36"/>
      <c r="F112" s="36"/>
      <c r="G112" s="37" t="s">
        <v>87</v>
      </c>
      <c r="H112" s="37" t="s">
        <v>169</v>
      </c>
      <c r="I112" s="38">
        <f>198000</f>
        <v>198000</v>
      </c>
      <c r="J112" s="41" t="s">
        <v>63</v>
      </c>
      <c r="K112" s="41"/>
      <c r="L112" s="41"/>
      <c r="M112" s="41"/>
      <c r="N112" s="40">
        <f>198000</f>
        <v>198000</v>
      </c>
      <c r="O112" s="40"/>
    </row>
    <row r="113" spans="1:15" s="1" customFormat="1" ht="13.5" customHeight="1">
      <c r="A113" s="36" t="s">
        <v>98</v>
      </c>
      <c r="B113" s="36"/>
      <c r="C113" s="36"/>
      <c r="D113" s="36"/>
      <c r="E113" s="36"/>
      <c r="F113" s="36"/>
      <c r="G113" s="37" t="s">
        <v>87</v>
      </c>
      <c r="H113" s="37" t="s">
        <v>170</v>
      </c>
      <c r="I113" s="38">
        <f>350000</f>
        <v>350000</v>
      </c>
      <c r="J113" s="39">
        <f>261404.66</f>
        <v>261404.66</v>
      </c>
      <c r="K113" s="39"/>
      <c r="L113" s="39"/>
      <c r="M113" s="39"/>
      <c r="N113" s="40">
        <f>88595.34</f>
        <v>88595.34</v>
      </c>
      <c r="O113" s="40"/>
    </row>
    <row r="114" spans="1:15" s="1" customFormat="1" ht="13.5" customHeight="1">
      <c r="A114" s="36" t="s">
        <v>100</v>
      </c>
      <c r="B114" s="36"/>
      <c r="C114" s="36"/>
      <c r="D114" s="36"/>
      <c r="E114" s="36"/>
      <c r="F114" s="36"/>
      <c r="G114" s="37" t="s">
        <v>87</v>
      </c>
      <c r="H114" s="37" t="s">
        <v>171</v>
      </c>
      <c r="I114" s="38">
        <f>0</f>
        <v>0</v>
      </c>
      <c r="J114" s="41" t="s">
        <v>63</v>
      </c>
      <c r="K114" s="41"/>
      <c r="L114" s="41"/>
      <c r="M114" s="41"/>
      <c r="N114" s="40">
        <f>0</f>
        <v>0</v>
      </c>
      <c r="O114" s="40"/>
    </row>
    <row r="115" spans="1:15" s="1" customFormat="1" ht="13.5" customHeight="1">
      <c r="A115" s="36" t="s">
        <v>98</v>
      </c>
      <c r="B115" s="36"/>
      <c r="C115" s="36"/>
      <c r="D115" s="36"/>
      <c r="E115" s="36"/>
      <c r="F115" s="36"/>
      <c r="G115" s="37" t="s">
        <v>87</v>
      </c>
      <c r="H115" s="37" t="s">
        <v>172</v>
      </c>
      <c r="I115" s="38">
        <f>2787724.5</f>
        <v>2787724.5</v>
      </c>
      <c r="J115" s="39">
        <f>511443.9</f>
        <v>511443.9</v>
      </c>
      <c r="K115" s="39"/>
      <c r="L115" s="39"/>
      <c r="M115" s="39"/>
      <c r="N115" s="40">
        <f>2276280.6</f>
        <v>2276280.6</v>
      </c>
      <c r="O115" s="40"/>
    </row>
    <row r="116" spans="1:15" s="1" customFormat="1" ht="13.5" customHeight="1">
      <c r="A116" s="36" t="s">
        <v>102</v>
      </c>
      <c r="B116" s="36"/>
      <c r="C116" s="36"/>
      <c r="D116" s="36"/>
      <c r="E116" s="36"/>
      <c r="F116" s="36"/>
      <c r="G116" s="37" t="s">
        <v>87</v>
      </c>
      <c r="H116" s="37" t="s">
        <v>173</v>
      </c>
      <c r="I116" s="38">
        <f>4174800</f>
        <v>4174800</v>
      </c>
      <c r="J116" s="39">
        <f>3498745</f>
        <v>3498745</v>
      </c>
      <c r="K116" s="39"/>
      <c r="L116" s="39"/>
      <c r="M116" s="39"/>
      <c r="N116" s="40">
        <f>676055</f>
        <v>676055</v>
      </c>
      <c r="O116" s="40"/>
    </row>
    <row r="117" spans="1:15" s="1" customFormat="1" ht="13.5" customHeight="1">
      <c r="A117" s="36" t="s">
        <v>88</v>
      </c>
      <c r="B117" s="36"/>
      <c r="C117" s="36"/>
      <c r="D117" s="36"/>
      <c r="E117" s="36"/>
      <c r="F117" s="36"/>
      <c r="G117" s="37" t="s">
        <v>87</v>
      </c>
      <c r="H117" s="37" t="s">
        <v>174</v>
      </c>
      <c r="I117" s="38">
        <f>36387</f>
        <v>36387</v>
      </c>
      <c r="J117" s="39">
        <f>36387</f>
        <v>36387</v>
      </c>
      <c r="K117" s="39"/>
      <c r="L117" s="39"/>
      <c r="M117" s="39"/>
      <c r="N117" s="40">
        <f>0</f>
        <v>0</v>
      </c>
      <c r="O117" s="40"/>
    </row>
    <row r="118" spans="1:15" s="1" customFormat="1" ht="13.5" customHeight="1">
      <c r="A118" s="36" t="s">
        <v>90</v>
      </c>
      <c r="B118" s="36"/>
      <c r="C118" s="36"/>
      <c r="D118" s="36"/>
      <c r="E118" s="36"/>
      <c r="F118" s="36"/>
      <c r="G118" s="37" t="s">
        <v>87</v>
      </c>
      <c r="H118" s="37" t="s">
        <v>175</v>
      </c>
      <c r="I118" s="38">
        <f>10988.87</f>
        <v>10988.87</v>
      </c>
      <c r="J118" s="39">
        <f>10988.87</f>
        <v>10988.87</v>
      </c>
      <c r="K118" s="39"/>
      <c r="L118" s="39"/>
      <c r="M118" s="39"/>
      <c r="N118" s="40">
        <f>0</f>
        <v>0</v>
      </c>
      <c r="O118" s="40"/>
    </row>
    <row r="119" spans="1:15" s="1" customFormat="1" ht="13.5" customHeight="1">
      <c r="A119" s="36" t="s">
        <v>100</v>
      </c>
      <c r="B119" s="36"/>
      <c r="C119" s="36"/>
      <c r="D119" s="36"/>
      <c r="E119" s="36"/>
      <c r="F119" s="36"/>
      <c r="G119" s="37" t="s">
        <v>87</v>
      </c>
      <c r="H119" s="37" t="s">
        <v>176</v>
      </c>
      <c r="I119" s="38">
        <f>89624.13</f>
        <v>89624.13</v>
      </c>
      <c r="J119" s="39">
        <f>35645.82</f>
        <v>35645.82</v>
      </c>
      <c r="K119" s="39"/>
      <c r="L119" s="39"/>
      <c r="M119" s="39"/>
      <c r="N119" s="40">
        <f>53978.31</f>
        <v>53978.31</v>
      </c>
      <c r="O119" s="40"/>
    </row>
    <row r="120" spans="1:15" s="1" customFormat="1" ht="13.5" customHeight="1">
      <c r="A120" s="36" t="s">
        <v>106</v>
      </c>
      <c r="B120" s="36"/>
      <c r="C120" s="36"/>
      <c r="D120" s="36"/>
      <c r="E120" s="36"/>
      <c r="F120" s="36"/>
      <c r="G120" s="37" t="s">
        <v>87</v>
      </c>
      <c r="H120" s="37" t="s">
        <v>177</v>
      </c>
      <c r="I120" s="38">
        <f>6000</f>
        <v>6000</v>
      </c>
      <c r="J120" s="41" t="s">
        <v>63</v>
      </c>
      <c r="K120" s="41"/>
      <c r="L120" s="41"/>
      <c r="M120" s="41"/>
      <c r="N120" s="40">
        <f>6000</f>
        <v>6000</v>
      </c>
      <c r="O120" s="40"/>
    </row>
    <row r="121" spans="1:15" s="1" customFormat="1" ht="13.5" customHeight="1">
      <c r="A121" s="36" t="s">
        <v>104</v>
      </c>
      <c r="B121" s="36"/>
      <c r="C121" s="36"/>
      <c r="D121" s="36"/>
      <c r="E121" s="36"/>
      <c r="F121" s="36"/>
      <c r="G121" s="37" t="s">
        <v>87</v>
      </c>
      <c r="H121" s="37" t="s">
        <v>178</v>
      </c>
      <c r="I121" s="38">
        <f>17000</f>
        <v>17000</v>
      </c>
      <c r="J121" s="39">
        <f>13152.8</f>
        <v>13152.8</v>
      </c>
      <c r="K121" s="39"/>
      <c r="L121" s="39"/>
      <c r="M121" s="39"/>
      <c r="N121" s="40">
        <f>3847.2</f>
        <v>3847.2</v>
      </c>
      <c r="O121" s="40"/>
    </row>
    <row r="122" spans="1:15" s="1" customFormat="1" ht="13.5" customHeight="1">
      <c r="A122" s="36" t="s">
        <v>106</v>
      </c>
      <c r="B122" s="36"/>
      <c r="C122" s="36"/>
      <c r="D122" s="36"/>
      <c r="E122" s="36"/>
      <c r="F122" s="36"/>
      <c r="G122" s="37" t="s">
        <v>87</v>
      </c>
      <c r="H122" s="37" t="s">
        <v>179</v>
      </c>
      <c r="I122" s="38">
        <f>0</f>
        <v>0</v>
      </c>
      <c r="J122" s="41" t="s">
        <v>63</v>
      </c>
      <c r="K122" s="41"/>
      <c r="L122" s="41"/>
      <c r="M122" s="41"/>
      <c r="N122" s="40">
        <f>0</f>
        <v>0</v>
      </c>
      <c r="O122" s="40"/>
    </row>
    <row r="123" spans="1:15" s="1" customFormat="1" ht="13.5" customHeight="1">
      <c r="A123" s="36" t="s">
        <v>104</v>
      </c>
      <c r="B123" s="36"/>
      <c r="C123" s="36"/>
      <c r="D123" s="36"/>
      <c r="E123" s="36"/>
      <c r="F123" s="36"/>
      <c r="G123" s="37" t="s">
        <v>87</v>
      </c>
      <c r="H123" s="37" t="s">
        <v>180</v>
      </c>
      <c r="I123" s="38">
        <f>0</f>
        <v>0</v>
      </c>
      <c r="J123" s="41" t="s">
        <v>63</v>
      </c>
      <c r="K123" s="41"/>
      <c r="L123" s="41"/>
      <c r="M123" s="41"/>
      <c r="N123" s="40">
        <f>0</f>
        <v>0</v>
      </c>
      <c r="O123" s="40"/>
    </row>
    <row r="124" spans="1:15" s="1" customFormat="1" ht="13.5" customHeight="1">
      <c r="A124" s="36" t="s">
        <v>100</v>
      </c>
      <c r="B124" s="36"/>
      <c r="C124" s="36"/>
      <c r="D124" s="36"/>
      <c r="E124" s="36"/>
      <c r="F124" s="36"/>
      <c r="G124" s="37" t="s">
        <v>87</v>
      </c>
      <c r="H124" s="37" t="s">
        <v>181</v>
      </c>
      <c r="I124" s="38">
        <f>239155</f>
        <v>239155</v>
      </c>
      <c r="J124" s="39">
        <f>100000</f>
        <v>100000</v>
      </c>
      <c r="K124" s="39"/>
      <c r="L124" s="39"/>
      <c r="M124" s="39"/>
      <c r="N124" s="40">
        <f>139155</f>
        <v>139155</v>
      </c>
      <c r="O124" s="40"/>
    </row>
    <row r="125" spans="1:15" s="1" customFormat="1" ht="13.5" customHeight="1">
      <c r="A125" s="36" t="s">
        <v>104</v>
      </c>
      <c r="B125" s="36"/>
      <c r="C125" s="36"/>
      <c r="D125" s="36"/>
      <c r="E125" s="36"/>
      <c r="F125" s="36"/>
      <c r="G125" s="37" t="s">
        <v>87</v>
      </c>
      <c r="H125" s="37" t="s">
        <v>182</v>
      </c>
      <c r="I125" s="38">
        <f>155845</f>
        <v>155845</v>
      </c>
      <c r="J125" s="39">
        <f>63195</f>
        <v>63195</v>
      </c>
      <c r="K125" s="39"/>
      <c r="L125" s="39"/>
      <c r="M125" s="39"/>
      <c r="N125" s="40">
        <f>92650</f>
        <v>92650</v>
      </c>
      <c r="O125" s="40"/>
    </row>
    <row r="126" spans="1:15" s="1" customFormat="1" ht="13.5" customHeight="1">
      <c r="A126" s="36" t="s">
        <v>98</v>
      </c>
      <c r="B126" s="36"/>
      <c r="C126" s="36"/>
      <c r="D126" s="36"/>
      <c r="E126" s="36"/>
      <c r="F126" s="36"/>
      <c r="G126" s="37" t="s">
        <v>87</v>
      </c>
      <c r="H126" s="37" t="s">
        <v>183</v>
      </c>
      <c r="I126" s="38">
        <f>260000</f>
        <v>260000</v>
      </c>
      <c r="J126" s="41" t="s">
        <v>63</v>
      </c>
      <c r="K126" s="41"/>
      <c r="L126" s="41"/>
      <c r="M126" s="41"/>
      <c r="N126" s="40">
        <f>260000</f>
        <v>260000</v>
      </c>
      <c r="O126" s="40"/>
    </row>
    <row r="127" spans="1:15" s="1" customFormat="1" ht="13.5" customHeight="1">
      <c r="A127" s="36" t="s">
        <v>100</v>
      </c>
      <c r="B127" s="36"/>
      <c r="C127" s="36"/>
      <c r="D127" s="36"/>
      <c r="E127" s="36"/>
      <c r="F127" s="36"/>
      <c r="G127" s="37" t="s">
        <v>87</v>
      </c>
      <c r="H127" s="37" t="s">
        <v>184</v>
      </c>
      <c r="I127" s="38">
        <f>40000</f>
        <v>40000</v>
      </c>
      <c r="J127" s="39">
        <f>35154</f>
        <v>35154</v>
      </c>
      <c r="K127" s="39"/>
      <c r="L127" s="39"/>
      <c r="M127" s="39"/>
      <c r="N127" s="40">
        <f>4846</f>
        <v>4846</v>
      </c>
      <c r="O127" s="40"/>
    </row>
    <row r="128" spans="1:15" s="1" customFormat="1" ht="13.5" customHeight="1">
      <c r="A128" s="36" t="s">
        <v>185</v>
      </c>
      <c r="B128" s="36"/>
      <c r="C128" s="36"/>
      <c r="D128" s="36"/>
      <c r="E128" s="36"/>
      <c r="F128" s="36"/>
      <c r="G128" s="37" t="s">
        <v>87</v>
      </c>
      <c r="H128" s="37" t="s">
        <v>186</v>
      </c>
      <c r="I128" s="38">
        <f>2278000</f>
        <v>2278000</v>
      </c>
      <c r="J128" s="39">
        <f>1708500</f>
        <v>1708500</v>
      </c>
      <c r="K128" s="39"/>
      <c r="L128" s="39"/>
      <c r="M128" s="39"/>
      <c r="N128" s="40">
        <f>569500</f>
        <v>569500</v>
      </c>
      <c r="O128" s="40"/>
    </row>
    <row r="129" spans="1:15" s="1" customFormat="1" ht="13.5" customHeight="1">
      <c r="A129" s="36" t="s">
        <v>185</v>
      </c>
      <c r="B129" s="36"/>
      <c r="C129" s="36"/>
      <c r="D129" s="36"/>
      <c r="E129" s="36"/>
      <c r="F129" s="36"/>
      <c r="G129" s="37" t="s">
        <v>87</v>
      </c>
      <c r="H129" s="37" t="s">
        <v>187</v>
      </c>
      <c r="I129" s="38">
        <f>94000</f>
        <v>94000</v>
      </c>
      <c r="J129" s="39">
        <f>94000</f>
        <v>94000</v>
      </c>
      <c r="K129" s="39"/>
      <c r="L129" s="39"/>
      <c r="M129" s="39"/>
      <c r="N129" s="40">
        <f>0</f>
        <v>0</v>
      </c>
      <c r="O129" s="40"/>
    </row>
    <row r="130" spans="1:15" s="1" customFormat="1" ht="13.5" customHeight="1">
      <c r="A130" s="36" t="s">
        <v>110</v>
      </c>
      <c r="B130" s="36"/>
      <c r="C130" s="36"/>
      <c r="D130" s="36"/>
      <c r="E130" s="36"/>
      <c r="F130" s="36"/>
      <c r="G130" s="37" t="s">
        <v>87</v>
      </c>
      <c r="H130" s="37" t="s">
        <v>188</v>
      </c>
      <c r="I130" s="38">
        <f>40000</f>
        <v>40000</v>
      </c>
      <c r="J130" s="41" t="s">
        <v>63</v>
      </c>
      <c r="K130" s="41"/>
      <c r="L130" s="41"/>
      <c r="M130" s="41"/>
      <c r="N130" s="40">
        <f>40000</f>
        <v>40000</v>
      </c>
      <c r="O130" s="40"/>
    </row>
    <row r="131" spans="1:15" s="1" customFormat="1" ht="13.5" customHeight="1">
      <c r="A131" s="36" t="s">
        <v>185</v>
      </c>
      <c r="B131" s="36"/>
      <c r="C131" s="36"/>
      <c r="D131" s="36"/>
      <c r="E131" s="36"/>
      <c r="F131" s="36"/>
      <c r="G131" s="37" t="s">
        <v>87</v>
      </c>
      <c r="H131" s="37" t="s">
        <v>189</v>
      </c>
      <c r="I131" s="38">
        <f>6211600</f>
        <v>6211600</v>
      </c>
      <c r="J131" s="39">
        <f>3090000</f>
        <v>3090000</v>
      </c>
      <c r="K131" s="39"/>
      <c r="L131" s="39"/>
      <c r="M131" s="39"/>
      <c r="N131" s="40">
        <f>3121600</f>
        <v>3121600</v>
      </c>
      <c r="O131" s="40"/>
    </row>
    <row r="132" spans="1:15" s="1" customFormat="1" ht="13.5" customHeight="1">
      <c r="A132" s="36" t="s">
        <v>185</v>
      </c>
      <c r="B132" s="36"/>
      <c r="C132" s="36"/>
      <c r="D132" s="36"/>
      <c r="E132" s="36"/>
      <c r="F132" s="36"/>
      <c r="G132" s="37" t="s">
        <v>87</v>
      </c>
      <c r="H132" s="37" t="s">
        <v>190</v>
      </c>
      <c r="I132" s="38">
        <f>567900</f>
        <v>567900</v>
      </c>
      <c r="J132" s="39">
        <f>296000</f>
        <v>296000</v>
      </c>
      <c r="K132" s="39"/>
      <c r="L132" s="39"/>
      <c r="M132" s="39"/>
      <c r="N132" s="40">
        <f>271900</f>
        <v>271900</v>
      </c>
      <c r="O132" s="40"/>
    </row>
    <row r="133" spans="1:15" s="1" customFormat="1" ht="24" customHeight="1">
      <c r="A133" s="36" t="s">
        <v>191</v>
      </c>
      <c r="B133" s="36"/>
      <c r="C133" s="36"/>
      <c r="D133" s="36"/>
      <c r="E133" s="36"/>
      <c r="F133" s="36"/>
      <c r="G133" s="37" t="s">
        <v>87</v>
      </c>
      <c r="H133" s="37" t="s">
        <v>192</v>
      </c>
      <c r="I133" s="38">
        <f>150000</f>
        <v>150000</v>
      </c>
      <c r="J133" s="39">
        <f>45000</f>
        <v>45000</v>
      </c>
      <c r="K133" s="39"/>
      <c r="L133" s="39"/>
      <c r="M133" s="39"/>
      <c r="N133" s="40">
        <f>105000</f>
        <v>105000</v>
      </c>
      <c r="O133" s="40"/>
    </row>
    <row r="134" spans="1:15" s="1" customFormat="1" ht="13.5" customHeight="1">
      <c r="A134" s="36" t="s">
        <v>100</v>
      </c>
      <c r="B134" s="36"/>
      <c r="C134" s="36"/>
      <c r="D134" s="36"/>
      <c r="E134" s="36"/>
      <c r="F134" s="36"/>
      <c r="G134" s="37" t="s">
        <v>87</v>
      </c>
      <c r="H134" s="37" t="s">
        <v>193</v>
      </c>
      <c r="I134" s="38">
        <f>16000</f>
        <v>16000</v>
      </c>
      <c r="J134" s="39">
        <f>15300</f>
        <v>15300</v>
      </c>
      <c r="K134" s="39"/>
      <c r="L134" s="39"/>
      <c r="M134" s="39"/>
      <c r="N134" s="40">
        <f>700</f>
        <v>700</v>
      </c>
      <c r="O134" s="40"/>
    </row>
    <row r="135" spans="1:15" s="1" customFormat="1" ht="13.5" customHeight="1">
      <c r="A135" s="36" t="s">
        <v>102</v>
      </c>
      <c r="B135" s="36"/>
      <c r="C135" s="36"/>
      <c r="D135" s="36"/>
      <c r="E135" s="36"/>
      <c r="F135" s="36"/>
      <c r="G135" s="37" t="s">
        <v>87</v>
      </c>
      <c r="H135" s="37" t="s">
        <v>194</v>
      </c>
      <c r="I135" s="38">
        <f>9000</f>
        <v>9000</v>
      </c>
      <c r="J135" s="41" t="s">
        <v>63</v>
      </c>
      <c r="K135" s="41"/>
      <c r="L135" s="41"/>
      <c r="M135" s="41"/>
      <c r="N135" s="40">
        <f>9000</f>
        <v>9000</v>
      </c>
      <c r="O135" s="40"/>
    </row>
    <row r="136" spans="1:15" s="1" customFormat="1" ht="24" customHeight="1">
      <c r="A136" s="36" t="s">
        <v>195</v>
      </c>
      <c r="B136" s="36"/>
      <c r="C136" s="36"/>
      <c r="D136" s="36"/>
      <c r="E136" s="36"/>
      <c r="F136" s="36"/>
      <c r="G136" s="37" t="s">
        <v>87</v>
      </c>
      <c r="H136" s="37" t="s">
        <v>196</v>
      </c>
      <c r="I136" s="38">
        <f>30000</f>
        <v>30000</v>
      </c>
      <c r="J136" s="41" t="s">
        <v>63</v>
      </c>
      <c r="K136" s="41"/>
      <c r="L136" s="41"/>
      <c r="M136" s="41"/>
      <c r="N136" s="40">
        <f>30000</f>
        <v>30000</v>
      </c>
      <c r="O136" s="40"/>
    </row>
    <row r="137" spans="1:15" s="1" customFormat="1" ht="13.5" customHeight="1">
      <c r="A137" s="36" t="s">
        <v>106</v>
      </c>
      <c r="B137" s="36"/>
      <c r="C137" s="36"/>
      <c r="D137" s="36"/>
      <c r="E137" s="36"/>
      <c r="F137" s="36"/>
      <c r="G137" s="37" t="s">
        <v>87</v>
      </c>
      <c r="H137" s="37" t="s">
        <v>197</v>
      </c>
      <c r="I137" s="38">
        <f>20000</f>
        <v>20000</v>
      </c>
      <c r="J137" s="39">
        <f>20000</f>
        <v>20000</v>
      </c>
      <c r="K137" s="39"/>
      <c r="L137" s="39"/>
      <c r="M137" s="39"/>
      <c r="N137" s="40">
        <f>0</f>
        <v>0</v>
      </c>
      <c r="O137" s="40"/>
    </row>
    <row r="138" spans="1:15" s="1" customFormat="1" ht="13.5" customHeight="1">
      <c r="A138" s="36" t="s">
        <v>102</v>
      </c>
      <c r="B138" s="36"/>
      <c r="C138" s="36"/>
      <c r="D138" s="36"/>
      <c r="E138" s="36"/>
      <c r="F138" s="36"/>
      <c r="G138" s="37" t="s">
        <v>87</v>
      </c>
      <c r="H138" s="37" t="s">
        <v>198</v>
      </c>
      <c r="I138" s="38">
        <f>48000</f>
        <v>48000</v>
      </c>
      <c r="J138" s="41" t="s">
        <v>63</v>
      </c>
      <c r="K138" s="41"/>
      <c r="L138" s="41"/>
      <c r="M138" s="41"/>
      <c r="N138" s="40">
        <f>48000</f>
        <v>48000</v>
      </c>
      <c r="O138" s="40"/>
    </row>
    <row r="139" spans="1:15" s="1" customFormat="1" ht="13.5" customHeight="1">
      <c r="A139" s="36" t="s">
        <v>104</v>
      </c>
      <c r="B139" s="36"/>
      <c r="C139" s="36"/>
      <c r="D139" s="36"/>
      <c r="E139" s="36"/>
      <c r="F139" s="36"/>
      <c r="G139" s="37" t="s">
        <v>87</v>
      </c>
      <c r="H139" s="37" t="s">
        <v>199</v>
      </c>
      <c r="I139" s="38">
        <f>82000</f>
        <v>82000</v>
      </c>
      <c r="J139" s="41" t="s">
        <v>63</v>
      </c>
      <c r="K139" s="41"/>
      <c r="L139" s="41"/>
      <c r="M139" s="41"/>
      <c r="N139" s="40">
        <f>82000</f>
        <v>82000</v>
      </c>
      <c r="O139" s="40"/>
    </row>
    <row r="140" spans="1:15" s="1" customFormat="1" ht="15" customHeight="1">
      <c r="A140" s="42" t="s">
        <v>200</v>
      </c>
      <c r="B140" s="42"/>
      <c r="C140" s="42"/>
      <c r="D140" s="42"/>
      <c r="E140" s="42"/>
      <c r="F140" s="42"/>
      <c r="G140" s="43" t="s">
        <v>201</v>
      </c>
      <c r="H140" s="43" t="s">
        <v>36</v>
      </c>
      <c r="I140" s="44">
        <f>-18490653.15</f>
        <v>-18490653.15</v>
      </c>
      <c r="J140" s="45">
        <f>1123648.87</f>
        <v>1123648.87</v>
      </c>
      <c r="K140" s="45"/>
      <c r="L140" s="45"/>
      <c r="M140" s="45"/>
      <c r="N140" s="46" t="s">
        <v>36</v>
      </c>
      <c r="O140" s="46"/>
    </row>
    <row r="141" spans="1:15" s="1" customFormat="1" ht="13.5" customHeight="1">
      <c r="A141" s="7" t="s">
        <v>10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s="1" customFormat="1" ht="13.5" customHeight="1">
      <c r="A142" s="12" t="s">
        <v>202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s="1" customFormat="1" ht="45.75" customHeight="1">
      <c r="A143" s="13" t="s">
        <v>22</v>
      </c>
      <c r="B143" s="13"/>
      <c r="C143" s="13"/>
      <c r="D143" s="13"/>
      <c r="E143" s="13"/>
      <c r="F143" s="13"/>
      <c r="G143" s="14" t="s">
        <v>23</v>
      </c>
      <c r="H143" s="14" t="s">
        <v>203</v>
      </c>
      <c r="I143" s="15" t="s">
        <v>25</v>
      </c>
      <c r="J143" s="16" t="s">
        <v>26</v>
      </c>
      <c r="K143" s="16"/>
      <c r="L143" s="16"/>
      <c r="M143" s="16"/>
      <c r="N143" s="17" t="s">
        <v>27</v>
      </c>
      <c r="O143" s="17"/>
    </row>
    <row r="144" spans="1:15" s="1" customFormat="1" ht="12.75" customHeight="1">
      <c r="A144" s="18" t="s">
        <v>28</v>
      </c>
      <c r="B144" s="18"/>
      <c r="C144" s="18"/>
      <c r="D144" s="18"/>
      <c r="E144" s="18"/>
      <c r="F144" s="18"/>
      <c r="G144" s="19" t="s">
        <v>29</v>
      </c>
      <c r="H144" s="19" t="s">
        <v>30</v>
      </c>
      <c r="I144" s="20" t="s">
        <v>31</v>
      </c>
      <c r="J144" s="21" t="s">
        <v>32</v>
      </c>
      <c r="K144" s="21"/>
      <c r="L144" s="21"/>
      <c r="M144" s="21"/>
      <c r="N144" s="22" t="s">
        <v>33</v>
      </c>
      <c r="O144" s="22"/>
    </row>
    <row r="145" spans="1:15" s="1" customFormat="1" ht="13.5" customHeight="1">
      <c r="A145" s="23" t="s">
        <v>204</v>
      </c>
      <c r="B145" s="23"/>
      <c r="C145" s="23"/>
      <c r="D145" s="23"/>
      <c r="E145" s="23"/>
      <c r="F145" s="23"/>
      <c r="G145" s="24" t="s">
        <v>205</v>
      </c>
      <c r="H145" s="24" t="s">
        <v>36</v>
      </c>
      <c r="I145" s="47">
        <f>18490653.15</f>
        <v>18490653.15</v>
      </c>
      <c r="J145" s="26">
        <f>-1123648.87</f>
        <v>-1123648.87</v>
      </c>
      <c r="K145" s="26"/>
      <c r="L145" s="26"/>
      <c r="M145" s="26"/>
      <c r="N145" s="48">
        <f>19614302.02</f>
        <v>19614302.02</v>
      </c>
      <c r="O145" s="48"/>
    </row>
    <row r="146" spans="1:15" s="1" customFormat="1" ht="13.5" customHeight="1">
      <c r="A146" s="49" t="s">
        <v>206</v>
      </c>
      <c r="B146" s="49"/>
      <c r="C146" s="49"/>
      <c r="D146" s="49"/>
      <c r="E146" s="49"/>
      <c r="F146" s="49"/>
      <c r="G146" s="50" t="s">
        <v>10</v>
      </c>
      <c r="H146" s="50" t="s">
        <v>10</v>
      </c>
      <c r="I146" s="51" t="s">
        <v>10</v>
      </c>
      <c r="J146" s="52" t="s">
        <v>10</v>
      </c>
      <c r="K146" s="52"/>
      <c r="L146" s="52"/>
      <c r="M146" s="52"/>
      <c r="N146" s="53" t="s">
        <v>10</v>
      </c>
      <c r="O146" s="53"/>
    </row>
    <row r="147" spans="1:15" s="1" customFormat="1" ht="13.5" customHeight="1">
      <c r="A147" s="28" t="s">
        <v>207</v>
      </c>
      <c r="B147" s="28"/>
      <c r="C147" s="28"/>
      <c r="D147" s="28"/>
      <c r="E147" s="28"/>
      <c r="F147" s="28"/>
      <c r="G147" s="54" t="s">
        <v>208</v>
      </c>
      <c r="H147" s="29" t="s">
        <v>36</v>
      </c>
      <c r="I147" s="55" t="s">
        <v>63</v>
      </c>
      <c r="J147" s="34" t="s">
        <v>63</v>
      </c>
      <c r="K147" s="34"/>
      <c r="L147" s="34"/>
      <c r="M147" s="34"/>
      <c r="N147" s="56" t="s">
        <v>63</v>
      </c>
      <c r="O147" s="56"/>
    </row>
    <row r="148" spans="1:15" s="1" customFormat="1" ht="13.5" customHeight="1">
      <c r="A148" s="36" t="s">
        <v>10</v>
      </c>
      <c r="B148" s="36"/>
      <c r="C148" s="36"/>
      <c r="D148" s="36"/>
      <c r="E148" s="36"/>
      <c r="F148" s="36"/>
      <c r="G148" s="37" t="s">
        <v>208</v>
      </c>
      <c r="H148" s="37" t="s">
        <v>10</v>
      </c>
      <c r="I148" s="57" t="s">
        <v>63</v>
      </c>
      <c r="J148" s="41" t="s">
        <v>63</v>
      </c>
      <c r="K148" s="41"/>
      <c r="L148" s="41"/>
      <c r="M148" s="41"/>
      <c r="N148" s="58" t="s">
        <v>63</v>
      </c>
      <c r="O148" s="58"/>
    </row>
    <row r="149" spans="1:15" s="1" customFormat="1" ht="0.75" customHeight="1">
      <c r="A149" s="59" t="s">
        <v>10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s="1" customFormat="1" ht="13.5" customHeight="1">
      <c r="A150" s="36" t="s">
        <v>209</v>
      </c>
      <c r="B150" s="36"/>
      <c r="C150" s="36"/>
      <c r="D150" s="36"/>
      <c r="E150" s="36"/>
      <c r="F150" s="36"/>
      <c r="G150" s="50" t="s">
        <v>210</v>
      </c>
      <c r="H150" s="50" t="s">
        <v>36</v>
      </c>
      <c r="I150" s="51" t="s">
        <v>63</v>
      </c>
      <c r="J150" s="41" t="s">
        <v>63</v>
      </c>
      <c r="K150" s="41"/>
      <c r="L150" s="41"/>
      <c r="M150" s="41"/>
      <c r="N150" s="53" t="s">
        <v>63</v>
      </c>
      <c r="O150" s="53"/>
    </row>
    <row r="151" spans="1:15" s="1" customFormat="1" ht="13.5" customHeight="1">
      <c r="A151" s="36" t="s">
        <v>10</v>
      </c>
      <c r="B151" s="36"/>
      <c r="C151" s="36"/>
      <c r="D151" s="36"/>
      <c r="E151" s="36"/>
      <c r="F151" s="36"/>
      <c r="G151" s="37" t="s">
        <v>210</v>
      </c>
      <c r="H151" s="37" t="s">
        <v>10</v>
      </c>
      <c r="I151" s="57" t="s">
        <v>63</v>
      </c>
      <c r="J151" s="41" t="s">
        <v>63</v>
      </c>
      <c r="K151" s="41"/>
      <c r="L151" s="41"/>
      <c r="M151" s="41"/>
      <c r="N151" s="58" t="s">
        <v>63</v>
      </c>
      <c r="O151" s="58"/>
    </row>
    <row r="152" spans="1:15" s="1" customFormat="1" ht="13.5" customHeight="1">
      <c r="A152" s="36" t="s">
        <v>211</v>
      </c>
      <c r="B152" s="36"/>
      <c r="C152" s="36"/>
      <c r="D152" s="36"/>
      <c r="E152" s="36"/>
      <c r="F152" s="36"/>
      <c r="G152" s="37" t="s">
        <v>212</v>
      </c>
      <c r="H152" s="37" t="s">
        <v>213</v>
      </c>
      <c r="I152" s="60">
        <f>18490653.15</f>
        <v>18490653.15</v>
      </c>
      <c r="J152" s="39">
        <f>-1123648.87</f>
        <v>-1123648.87</v>
      </c>
      <c r="K152" s="39"/>
      <c r="L152" s="39"/>
      <c r="M152" s="39"/>
      <c r="N152" s="61">
        <f>19614302.02</f>
        <v>19614302.02</v>
      </c>
      <c r="O152" s="61"/>
    </row>
    <row r="153" spans="1:15" s="1" customFormat="1" ht="13.5" customHeight="1">
      <c r="A153" s="36" t="s">
        <v>214</v>
      </c>
      <c r="B153" s="36"/>
      <c r="C153" s="36"/>
      <c r="D153" s="36"/>
      <c r="E153" s="36"/>
      <c r="F153" s="36"/>
      <c r="G153" s="37" t="s">
        <v>215</v>
      </c>
      <c r="H153" s="37" t="s">
        <v>216</v>
      </c>
      <c r="I153" s="60">
        <f>-30352786.35</f>
        <v>-30352786.35</v>
      </c>
      <c r="J153" s="39">
        <f>-23238577.73</f>
        <v>-23238577.73</v>
      </c>
      <c r="K153" s="39"/>
      <c r="L153" s="39"/>
      <c r="M153" s="39"/>
      <c r="N153" s="62" t="s">
        <v>36</v>
      </c>
      <c r="O153" s="62"/>
    </row>
    <row r="154" spans="1:15" s="1" customFormat="1" ht="13.5" customHeight="1">
      <c r="A154" s="36" t="s">
        <v>217</v>
      </c>
      <c r="B154" s="36"/>
      <c r="C154" s="36"/>
      <c r="D154" s="36"/>
      <c r="E154" s="36"/>
      <c r="F154" s="36"/>
      <c r="G154" s="37" t="s">
        <v>218</v>
      </c>
      <c r="H154" s="37" t="s">
        <v>219</v>
      </c>
      <c r="I154" s="60">
        <f>48843439.5</f>
        <v>48843439.5</v>
      </c>
      <c r="J154" s="39">
        <f>22114928.86</f>
        <v>22114928.86</v>
      </c>
      <c r="K154" s="39"/>
      <c r="L154" s="39"/>
      <c r="M154" s="39"/>
      <c r="N154" s="62" t="s">
        <v>36</v>
      </c>
      <c r="O154" s="62"/>
    </row>
    <row r="155" spans="1:15" s="1" customFormat="1" ht="13.5" customHeight="1">
      <c r="A155" s="63" t="s">
        <v>10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s="1" customFormat="1" ht="15.75" customHeight="1">
      <c r="A156" s="7" t="s">
        <v>10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s="1" customFormat="1" ht="13.5" customHeight="1">
      <c r="A157" s="64" t="s">
        <v>220</v>
      </c>
      <c r="B157" s="64"/>
      <c r="C157" s="64"/>
      <c r="D157" s="64"/>
      <c r="E157" s="64"/>
      <c r="F157" s="7" t="s">
        <v>10</v>
      </c>
      <c r="G157" s="7"/>
      <c r="H157" s="7"/>
      <c r="I157" s="7"/>
      <c r="J157" s="7"/>
      <c r="K157" s="7"/>
      <c r="L157" s="7"/>
      <c r="M157" s="7"/>
      <c r="N157" s="7"/>
      <c r="O157" s="7"/>
    </row>
    <row r="158" spans="1:15" s="1" customFormat="1" ht="13.5" customHeight="1">
      <c r="A158" s="4" t="s">
        <v>221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</sheetData>
  <sheetProtection/>
  <mergeCells count="446">
    <mergeCell ref="A155:O155"/>
    <mergeCell ref="A156:O156"/>
    <mergeCell ref="A157:E157"/>
    <mergeCell ref="F157:O157"/>
    <mergeCell ref="A158:O158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8:F148"/>
    <mergeCell ref="J148:M148"/>
    <mergeCell ref="N148:O148"/>
    <mergeCell ref="A149:O149"/>
    <mergeCell ref="A150:F150"/>
    <mergeCell ref="J150:M150"/>
    <mergeCell ref="N150:O150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0:F140"/>
    <mergeCell ref="J140:M140"/>
    <mergeCell ref="N140:O140"/>
    <mergeCell ref="A141:O141"/>
    <mergeCell ref="A142:O142"/>
    <mergeCell ref="A143:F143"/>
    <mergeCell ref="J143:M143"/>
    <mergeCell ref="N143:O143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6:O36"/>
    <mergeCell ref="A37:O37"/>
    <mergeCell ref="A38:F38"/>
    <mergeCell ref="J38:M38"/>
    <mergeCell ref="N38:O38"/>
    <mergeCell ref="A39:F39"/>
    <mergeCell ref="J39:M39"/>
    <mergeCell ref="N39:O39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4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2015-12-28T09:37:12Z</dcterms:created>
  <dcterms:modified xsi:type="dcterms:W3CDTF">2015-12-28T09:37:12Z</dcterms:modified>
  <cp:category/>
  <cp:version/>
  <cp:contentType/>
  <cp:contentStatus/>
</cp:coreProperties>
</file>